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CEA Model" sheetId="3" state="visible" r:id="rId3"/>
    <sheet xmlns:r="http://schemas.openxmlformats.org/officeDocument/2006/relationships" name="Crit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$#,##0"/>
    <numFmt numFmtId="165" formatCode="0.0x"/>
    <numFmt numFmtId="166" formatCode="0.0%"/>
    <numFmt numFmtId="167" formatCode="$#,##0.000"/>
    <numFmt numFmtId="168" formatCode="0.000"/>
    <numFmt numFmtId="169" formatCode="0.00000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color rgb="00000000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color rgb="00008000"/>
      <sz val="10"/>
    </font>
    <font>
      <name val="Arial"/>
      <b val="1"/>
      <color rgb="00FFFFFF"/>
      <sz val="10"/>
    </font>
    <font>
      <name val="Arial"/>
      <i val="1"/>
      <color rgb="00666666"/>
      <sz val="9"/>
    </font>
  </fonts>
  <fills count="12">
    <fill>
      <patternFill/>
    </fill>
    <fill>
      <patternFill patternType="gray125"/>
    </fill>
    <fill>
      <patternFill patternType="solid">
        <fgColor rgb="001A7A6E"/>
      </patternFill>
    </fill>
    <fill>
      <patternFill patternType="solid">
        <fgColor rgb="001F4E79"/>
      </patternFill>
    </fill>
    <fill>
      <patternFill patternType="solid">
        <fgColor rgb="00D9D9D9"/>
      </patternFill>
    </fill>
    <fill>
      <patternFill patternType="solid">
        <fgColor rgb="00FFFF00"/>
      </patternFill>
    </fill>
    <fill>
      <patternFill patternType="solid">
        <fgColor rgb="00E8D5F5"/>
      </patternFill>
    </fill>
    <fill>
      <patternFill patternType="solid">
        <fgColor rgb="007B2D8B"/>
      </patternFill>
    </fill>
    <fill>
      <patternFill patternType="solid">
        <fgColor rgb="00B8860B"/>
      </patternFill>
    </fill>
    <fill>
      <patternFill patternType="solid">
        <fgColor rgb="00FDECEA"/>
      </patternFill>
    </fill>
    <fill>
      <patternFill patternType="solid">
        <fgColor rgb="00FAEEDA"/>
      </patternFill>
    </fill>
    <fill>
      <patternFill patternType="solid">
        <fgColor rgb="00D0EEEA"/>
      </patternFill>
    </fill>
  </fills>
  <borders count="6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8" fillId="0" borderId="0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center" wrapText="1"/>
    </xf>
    <xf numFmtId="164" fontId="3" fillId="0" borderId="1" pivotButton="0" quotePrefix="0" xfId="0"/>
    <xf numFmtId="165" fontId="3" fillId="0" borderId="1" pivotButton="0" quotePrefix="0" xfId="0"/>
    <xf numFmtId="166" fontId="3" fillId="0" borderId="1" pivotButton="0" quotePrefix="0" xfId="0"/>
    <xf numFmtId="0" fontId="3" fillId="0" borderId="1" pivotButton="0" quotePrefix="0" xfId="0"/>
    <xf numFmtId="0" fontId="7" fillId="2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2" fontId="5" fillId="5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66" fontId="5" fillId="6" borderId="1" applyAlignment="1" pivotButton="0" quotePrefix="0" xfId="0">
      <alignment horizontal="right" vertical="center"/>
    </xf>
    <xf numFmtId="168" fontId="5" fillId="5" borderId="1" applyAlignment="1" pivotButton="0" quotePrefix="0" xfId="0">
      <alignment horizontal="right" vertical="center"/>
    </xf>
    <xf numFmtId="169" fontId="4" fillId="0" borderId="1" applyAlignment="1" pivotButton="0" quotePrefix="0" xfId="0">
      <alignment horizontal="right" vertical="center"/>
    </xf>
    <xf numFmtId="2" fontId="5" fillId="0" borderId="1" applyAlignment="1" pivotButton="0" quotePrefix="0" xfId="0">
      <alignment horizontal="right" vertical="center"/>
    </xf>
    <xf numFmtId="168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69" fontId="5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164" fontId="5" fillId="5" borderId="1" applyAlignment="1" pivotButton="0" quotePrefix="0" xfId="0">
      <alignment horizontal="right" vertical="center"/>
    </xf>
    <xf numFmtId="0" fontId="3" fillId="9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4" customWidth="1" min="1" max="1"/>
    <col width="58" customWidth="1" min="2" max="2"/>
  </cols>
  <sheetData>
    <row r="1" ht="32" customHeight="1">
      <c r="A1" s="1" t="inlineStr">
        <is>
          <t>COST-EFFECTIVENESS ANALYSIS</t>
        </is>
      </c>
    </row>
    <row r="2" ht="22" customHeight="1">
      <c r="A2" s="2" t="inlineStr">
        <is>
          <t>AMAZI MEZA RWANDA — PRELIMINARY: insufficient evidence for probabilistic analysis</t>
        </is>
      </c>
    </row>
    <row r="4">
      <c r="A4" s="3" t="inlineStr">
        <is>
          <t>Intervention</t>
        </is>
      </c>
      <c r="B4" s="4" t="inlineStr">
        <is>
          <t>School-based safe drinking water (LifeStraw filtration + rainwater), carbon-financed</t>
        </is>
      </c>
    </row>
    <row r="5">
      <c r="A5" s="3" t="inlineStr">
        <is>
          <t>Pathway</t>
        </is>
      </c>
      <c r="B5" s="4" t="inlineStr">
        <is>
          <t>Carbon-financed safe water (Gate A: YES — GS12240, PetroChina Art.6 ERPA)</t>
        </is>
      </c>
    </row>
    <row r="6">
      <c r="A6" s="3" t="inlineStr">
        <is>
          <t>Geography</t>
        </is>
      </c>
      <c r="B6" s="4" t="inlineStr">
        <is>
          <t>Rwanda — 2,000 schools / 1.976M students at scale (2028+)</t>
        </is>
      </c>
    </row>
    <row r="7">
      <c r="A7" s="3" t="inlineStr">
        <is>
          <t>Program window</t>
        </is>
      </c>
      <c r="B7" s="4" t="inlineStr">
        <is>
          <t>2024-2033 (proforma horizon; crediting period 15 yr narrative)</t>
        </is>
      </c>
    </row>
    <row r="8">
      <c r="A8" s="3" t="inlineStr">
        <is>
          <t>Analyst / Date</t>
        </is>
      </c>
      <c r="B8" s="4" t="inlineStr">
        <is>
          <t>Virridy Carbon CEA Toolbox (Claude) — 2026-08-07</t>
        </is>
      </c>
    </row>
    <row r="9">
      <c r="A9" s="3" t="inlineStr">
        <is>
          <t>Version</t>
        </is>
      </c>
      <c r="B9" s="4" t="inlineStr">
        <is>
          <t>v1 PRELIMINARY — first natural-units CEA of a Virridy carbon project</t>
        </is>
      </c>
    </row>
    <row r="10">
      <c r="A10" s="3" t="inlineStr">
        <is>
          <t>Data basis</t>
        </is>
      </c>
      <c r="B10" s="4" t="inlineStr">
        <is>
          <t>rwanda-data.js SCENARIOS.base (proforma extract 2026-08-07); GS SDWS V2.0 yield</t>
        </is>
      </c>
    </row>
    <row r="13">
      <c r="A13" s="5" t="inlineStr">
        <is>
          <t>COLOR KEY</t>
        </is>
      </c>
    </row>
    <row r="14">
      <c r="A14" s="6" t="inlineStr">
        <is>
          <t>TOP-LINE RESULTS — GiveWell Default headline</t>
        </is>
      </c>
      <c r="B14" s="7" t="n"/>
      <c r="C14" s="8" t="n"/>
    </row>
    <row r="15">
      <c r="A15" s="9" t="inlineStr">
        <is>
          <t>Metric</t>
        </is>
      </c>
      <c r="B15" s="9" t="inlineStr">
        <is>
          <t>Raw</t>
        </is>
      </c>
      <c r="C15" s="9" t="inlineStr">
        <is>
          <t>Evidence-adjusted</t>
        </is>
      </c>
    </row>
    <row r="16">
      <c r="A16" s="3" t="inlineStr">
        <is>
          <t>$/DALY averted</t>
        </is>
      </c>
      <c r="B16" s="10" t="n">
        <v>6822.349395508887</v>
      </c>
      <c r="C16" s="10" t="n">
        <v>14026.21175063504</v>
      </c>
    </row>
    <row r="17">
      <c r="A17" s="11" t="inlineStr">
        <is>
          <t>$/DCY (per doubled-consumption-year)</t>
        </is>
      </c>
      <c r="B17" s="10" t="n">
        <v>2966.23886761256</v>
      </c>
      <c r="C17" s="10" t="n">
        <v>6098.352935058715</v>
      </c>
    </row>
    <row r="18">
      <c r="A18" s="12" t="inlineStr">
        <is>
          <t>xCash_MU (ranking metric)</t>
        </is>
      </c>
      <c r="B18" s="13" t="n">
        <v>0.1034790375465771</v>
      </c>
      <c r="C18" s="14" t="inlineStr"/>
    </row>
    <row r="19">
      <c r="A19" s="15" t="inlineStr">
        <is>
          <t>$/DALY = $/DCY × 2.3 (units of value per DALY, GiveWell Default). $/DCY = $/unit of value = 298.51 ÷ xCash. FULL-DELIVERY-COST basis (Programme CE frame, GiveWell-comparable). Carbon revenue covers 106% of full cost — see the carbon block: on the net-philanthropic basis the program is self-financing and philanthropic $/DALY is undefined (&lt;= $0).</t>
        </is>
      </c>
    </row>
    <row r="21">
      <c r="A21" s="16" t="inlineStr">
        <is>
          <t>CARBON METRICS (Metrics 2-4)</t>
        </is>
      </c>
    </row>
    <row r="22">
      <c r="A22" s="3" t="inlineStr">
        <is>
          <t>$/tCO2e (full cost / net credits, as credited)</t>
        </is>
      </c>
      <c r="B22" s="17" t="n">
        <v>16.42675892804471</v>
      </c>
    </row>
    <row r="23">
      <c r="A23" s="3" t="inlineStr">
        <is>
          <t xml:space="preserve">  vs SCC $185 (credited basis)</t>
        </is>
      </c>
      <c r="B23" s="18" t="n">
        <v>11.26211207033406</v>
      </c>
    </row>
    <row r="24">
      <c r="A24" s="3" t="inlineStr">
        <is>
          <t>$/tCO2e integrity-adjusted (real tonnes)</t>
        </is>
      </c>
      <c r="B24" s="17" t="n">
        <v>23.39994149294117</v>
      </c>
    </row>
    <row r="25">
      <c r="A25" s="3" t="inlineStr">
        <is>
          <t xml:space="preserve">  vs SCC $185 (integrity basis)</t>
        </is>
      </c>
      <c r="B25" s="18" t="n">
        <v>7.906002673374508</v>
      </c>
    </row>
    <row r="26">
      <c r="A26" s="3" t="inlineStr">
        <is>
          <t>Credit integrity ratio (real/credited)</t>
        </is>
      </c>
      <c r="B26" s="19" t="n">
        <v>0.7020000000000001</v>
      </c>
    </row>
    <row r="27">
      <c r="A27" s="3" t="inlineStr">
        <is>
          <t>Carbon revenue / full cost, 2024-33</t>
        </is>
      </c>
      <c r="B27" s="19" t="n">
        <v>1.061229123800975</v>
      </c>
    </row>
    <row r="28">
      <c r="A28" s="3" t="inlineStr">
        <is>
          <t>Net philanthropic cost 2024-33 (neg = self-financing)</t>
        </is>
      </c>
      <c r="B28" s="17" t="n">
        <v>-750175</v>
      </c>
    </row>
    <row r="29">
      <c r="A29" s="3" t="inlineStr">
        <is>
          <t>Steady-state revenue coverage 2029 / 2033</t>
        </is>
      </c>
      <c r="B29" s="20" t="inlineStr">
        <is>
          <t>2.84x / 3.44x</t>
        </is>
      </c>
    </row>
    <row r="30">
      <c r="A30" s="15" t="inlineStr">
        <is>
          <t>Self-sustainability: deterministic at modeled prices (steady-state coverage ~2.8-3.4x); residual risk is price/issuance, not cost. Health $/DALY on full cost is far above the GiveWell bar in cash-equivalent terms (xCash ~0.10x) — the philanthropic case is NOT 'fund this instead of bednets'; it is that carbon finance makes the health benefit free.</t>
        </is>
      </c>
    </row>
  </sheetData>
  <mergeCells count="5">
    <mergeCell ref="A21:B21"/>
    <mergeCell ref="A2:B2"/>
    <mergeCell ref="A14:C14"/>
    <mergeCell ref="A13:B13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6" customWidth="1" min="12" max="12"/>
  </cols>
  <sheetData>
    <row r="1">
      <c r="A1" s="5" t="inlineStr">
        <is>
          <t>PROFORMA SERIES 2024-2033 (rwanda-data.js base — extraction 2026-08-07)</t>
        </is>
      </c>
    </row>
    <row r="2">
      <c r="A2" s="21" t="inlineStr">
        <is>
          <t>Series</t>
        </is>
      </c>
      <c r="B2" s="9" t="n">
        <v>2024</v>
      </c>
      <c r="C2" s="9" t="n">
        <v>2025</v>
      </c>
      <c r="D2" s="9" t="n">
        <v>2026</v>
      </c>
      <c r="E2" s="9" t="n">
        <v>2027</v>
      </c>
      <c r="F2" s="9" t="n">
        <v>2028</v>
      </c>
      <c r="G2" s="9" t="n">
        <v>2029</v>
      </c>
      <c r="H2" s="9" t="n">
        <v>2030</v>
      </c>
      <c r="I2" s="9" t="n">
        <v>2031</v>
      </c>
      <c r="J2" s="9" t="n">
        <v>2032</v>
      </c>
      <c r="K2" s="9" t="n">
        <v>2033</v>
      </c>
      <c r="L2" s="21" t="inlineStr">
        <is>
          <t>Total</t>
        </is>
      </c>
    </row>
    <row r="3">
      <c r="A3" s="4" t="inlineStr">
        <is>
          <t>Students enrolled (schools x 988/school avg)   [students[]]</t>
        </is>
      </c>
      <c r="B3" s="22" t="n">
        <v>197600</v>
      </c>
      <c r="C3" s="22" t="n">
        <v>444600</v>
      </c>
      <c r="D3" s="22" t="n">
        <v>839800</v>
      </c>
      <c r="E3" s="22" t="n">
        <v>1383200</v>
      </c>
      <c r="F3" s="22" t="n">
        <v>1976000</v>
      </c>
      <c r="G3" s="22" t="n">
        <v>1976000</v>
      </c>
      <c r="H3" s="22" t="n">
        <v>1976000</v>
      </c>
      <c r="I3" s="22" t="n">
        <v>1976000</v>
      </c>
      <c r="J3" s="22" t="n">
        <v>1976000</v>
      </c>
      <c r="K3" s="22" t="n">
        <v>1976000</v>
      </c>
      <c r="L3" s="23">
        <f>SUM(B3:K3)</f>
        <v/>
      </c>
    </row>
    <row r="4">
      <c r="A4" s="4" t="inlineStr">
        <is>
          <t>Net credits issued/projected (tCO2e)   [credits_net[]]</t>
        </is>
      </c>
      <c r="B4" s="22" t="n">
        <v>7282</v>
      </c>
      <c r="C4" s="22" t="n">
        <v>32215</v>
      </c>
      <c r="D4" s="22" t="n">
        <v>37440</v>
      </c>
      <c r="E4" s="22" t="n">
        <v>69887</v>
      </c>
      <c r="F4" s="22" t="n">
        <v>99838</v>
      </c>
      <c r="G4" s="22" t="n">
        <v>99838</v>
      </c>
      <c r="H4" s="22" t="n">
        <v>99838</v>
      </c>
      <c r="I4" s="22" t="n">
        <v>99838</v>
      </c>
      <c r="J4" s="22" t="n">
        <v>99838</v>
      </c>
      <c r="K4" s="22" t="n">
        <v>99838</v>
      </c>
      <c r="L4" s="23">
        <f>SUM(B4:K4)</f>
        <v/>
      </c>
    </row>
    <row r="5">
      <c r="A5" s="4" t="inlineStr">
        <is>
          <t>Carbon revenue ($)   [revenue[]]</t>
        </is>
      </c>
      <c r="B5" s="22" t="n">
        <v>0</v>
      </c>
      <c r="C5" s="22" t="n">
        <v>109230</v>
      </c>
      <c r="D5" s="22" t="n">
        <v>515440</v>
      </c>
      <c r="E5" s="22" t="n">
        <v>636480</v>
      </c>
      <c r="F5" s="22" t="n">
        <v>1257966</v>
      </c>
      <c r="G5" s="22" t="n">
        <v>1896922</v>
      </c>
      <c r="H5" s="22" t="n">
        <v>1996760</v>
      </c>
      <c r="I5" s="22" t="n">
        <v>2096598</v>
      </c>
      <c r="J5" s="22" t="n">
        <v>2196436</v>
      </c>
      <c r="K5" s="22" t="n">
        <v>2296274</v>
      </c>
      <c r="L5" s="23">
        <f>SUM(B5:K5)</f>
        <v/>
      </c>
    </row>
    <row r="6">
      <c r="A6" s="4" t="inlineStr">
        <is>
          <t>Rainwater capex ($)   [rainwater[]]</t>
        </is>
      </c>
      <c r="B6" s="22" t="n">
        <v>250000</v>
      </c>
      <c r="C6" s="22" t="n">
        <v>300000</v>
      </c>
      <c r="D6" s="22" t="n">
        <v>450000</v>
      </c>
      <c r="E6" s="22" t="n">
        <v>550000</v>
      </c>
      <c r="F6" s="22" t="n">
        <v>250000</v>
      </c>
      <c r="G6" s="22" t="n">
        <v>0</v>
      </c>
      <c r="H6" s="22" t="n">
        <v>0</v>
      </c>
      <c r="I6" s="22" t="n">
        <v>0</v>
      </c>
      <c r="J6" s="22" t="n">
        <v>0</v>
      </c>
      <c r="K6" s="22" t="n">
        <v>0</v>
      </c>
      <c r="L6" s="23">
        <f>SUM(B6:K6)</f>
        <v/>
      </c>
    </row>
    <row r="7">
      <c r="A7" s="4" t="inlineStr">
        <is>
          <t>Filter capex ($)   [new_filter_capex[]]</t>
        </is>
      </c>
      <c r="B7" s="22" t="n">
        <v>852891</v>
      </c>
      <c r="C7" s="22" t="n">
        <v>1245221</v>
      </c>
      <c r="D7" s="22" t="n">
        <v>234423</v>
      </c>
      <c r="E7" s="22" t="n">
        <v>994422</v>
      </c>
      <c r="F7" s="22" t="n">
        <v>1084824</v>
      </c>
      <c r="G7" s="22" t="n">
        <v>0</v>
      </c>
      <c r="H7" s="22" t="n">
        <v>0</v>
      </c>
      <c r="I7" s="22" t="n">
        <v>0</v>
      </c>
      <c r="J7" s="22" t="n">
        <v>0</v>
      </c>
      <c r="K7" s="22" t="n">
        <v>0</v>
      </c>
      <c r="L7" s="23">
        <f>SUM(B7:K7)</f>
        <v/>
      </c>
    </row>
    <row r="8">
      <c r="A8" s="4" t="inlineStr">
        <is>
          <t>Replacement filters ($)   [replacement_filter[]]</t>
        </is>
      </c>
      <c r="B8" s="22" t="n">
        <v>24700</v>
      </c>
      <c r="C8" s="22" t="n">
        <v>55575</v>
      </c>
      <c r="D8" s="22" t="n">
        <v>104975</v>
      </c>
      <c r="E8" s="22" t="n">
        <v>172900</v>
      </c>
      <c r="F8" s="22" t="n">
        <v>247000</v>
      </c>
      <c r="G8" s="22" t="n">
        <v>247000</v>
      </c>
      <c r="H8" s="22" t="n">
        <v>247000</v>
      </c>
      <c r="I8" s="22" t="n">
        <v>247000</v>
      </c>
      <c r="J8" s="22" t="n">
        <v>247000</v>
      </c>
      <c r="K8" s="22" t="n">
        <v>247000</v>
      </c>
      <c r="L8" s="23">
        <f>SUM(B8:K8)</f>
        <v/>
      </c>
    </row>
    <row r="9">
      <c r="A9" s="4" t="inlineStr">
        <is>
          <t>Local staffing ($)   [local_staffing]</t>
        </is>
      </c>
      <c r="B9" s="22" t="n">
        <v>420000</v>
      </c>
      <c r="C9" s="22" t="n">
        <v>420000</v>
      </c>
      <c r="D9" s="22" t="n">
        <v>420000</v>
      </c>
      <c r="E9" s="22" t="n">
        <v>420000</v>
      </c>
      <c r="F9" s="22" t="n">
        <v>420000</v>
      </c>
      <c r="G9" s="22" t="n">
        <v>420000</v>
      </c>
      <c r="H9" s="22" t="n">
        <v>420000</v>
      </c>
      <c r="I9" s="22" t="n">
        <v>420000</v>
      </c>
      <c r="J9" s="22" t="n">
        <v>420000</v>
      </c>
      <c r="K9" s="22" t="n">
        <v>420000</v>
      </c>
      <c r="L9" s="23">
        <f>SUM(B9:K9)</f>
        <v/>
      </c>
    </row>
    <row r="11">
      <c r="A11" s="5" t="inlineStr">
        <is>
          <t>COST BASIS — SINGLE DENOMINATOR (ratified rule R2)</t>
        </is>
      </c>
    </row>
    <row r="12">
      <c r="A12" s="3" t="inlineStr">
        <is>
          <t>TOTAL_PROGRAMME_COST 2024-2033 ($)</t>
        </is>
      </c>
      <c r="B12" s="24">
        <f>L6+L7+L8+L9</f>
        <v/>
      </c>
      <c r="C12" s="15" t="inlineStr">
        <is>
          <t xml:space="preserve"> = rainwater + filter capex + replacements + staffing. EXCLUDES allocated portfolio opex/verification/dMRV and topco overhead (scenario S7) — optimistic omission.</t>
        </is>
      </c>
    </row>
    <row r="13">
      <c r="A13" s="3" t="inlineStr">
        <is>
          <t>Student-years served 2024-2033</t>
        </is>
      </c>
      <c r="B13" s="23">
        <f>L3</f>
        <v/>
      </c>
    </row>
    <row r="14">
      <c r="A14" s="3" t="inlineStr">
        <is>
          <t>Cost per student-year ($)</t>
        </is>
      </c>
      <c r="B14" s="25">
        <f>B12/B13</f>
        <v/>
      </c>
    </row>
    <row r="15">
      <c r="A15" s="15" t="inlineStr">
        <is>
          <t>Every downstream figure divides by TOTAL_PROGRAMME_COST. Org narrative '$12M investment' reconciles to $12.3M here (cross-check, not denominator).</t>
        </is>
      </c>
    </row>
    <row r="17">
      <c r="A17" s="5" t="inlineStr">
        <is>
          <t>HEALTH CHAIN INPUTS</t>
        </is>
      </c>
    </row>
    <row r="18">
      <c r="A18" s="4" t="inlineStr">
        <is>
          <t>Diarrhea incidence, school-age (episodes/child-yr)</t>
        </is>
      </c>
      <c r="B18" s="26" t="n">
        <v>0.6</v>
      </c>
      <c r="C18" s="4" t="inlineStr">
        <is>
          <t>judgment</t>
        </is>
      </c>
      <c r="D18" s="15" t="inlineStr">
        <is>
          <t>GBD Rwanda 5-14 lookup PENDING. Range 0.3-1.2 in scenarios.</t>
        </is>
      </c>
    </row>
    <row r="19">
      <c r="A19" s="4" t="inlineStr">
        <is>
          <t>Diarrhea reduction, POU filtration</t>
        </is>
      </c>
      <c r="B19" s="27" t="n">
        <v>0.34</v>
      </c>
      <c r="C19" s="4" t="inlineStr">
        <is>
          <t>evidence-anchored</t>
        </is>
      </c>
      <c r="D19" s="15" t="inlineStr">
        <is>
          <t>Wolf et al. 2022 Lancet, RR 0.66 filtration. Program claims 29% (U5, LSHTM/Emory) - consistent.</t>
        </is>
      </c>
    </row>
    <row r="20">
      <c r="A20" s="4" t="inlineStr">
        <is>
          <t>School share of daily drinking water</t>
        </is>
      </c>
      <c r="B20" s="28" t="n">
        <v>0.3</v>
      </c>
      <c r="C20" s="4" t="inlineStr">
        <is>
          <t>judgment</t>
        </is>
      </c>
      <c r="D20" s="15" t="inlineStr">
        <is>
          <t>Students drink ~1/3 of water at school. No time-use data. Range 0.2-0.4.</t>
        </is>
      </c>
    </row>
    <row r="21">
      <c r="A21" s="4" t="inlineStr">
        <is>
          <t>Delivery effectiveness (safe at point)</t>
        </is>
      </c>
      <c r="B21" s="29" t="n">
        <v>0.9</v>
      </c>
      <c r="C21" s="4" t="inlineStr">
        <is>
          <t>sensor-measured</t>
        </is>
      </c>
      <c r="D21" s="15" t="inlineStr">
        <is>
          <t>Portfolio monitoring: 90.3% safe (n=1,685) vs 24.3% baseline (n=4,943). Lume-verified.</t>
        </is>
      </c>
    </row>
    <row r="22">
      <c r="A22" s="4" t="inlineStr">
        <is>
          <t>Disability weight (diarrhea, moderate)</t>
        </is>
      </c>
      <c r="B22" s="30" t="n">
        <v>0.188</v>
      </c>
      <c r="C22" s="4" t="inlineStr">
        <is>
          <t>evidence-anchored</t>
        </is>
      </c>
      <c r="D22" s="15" t="inlineStr">
        <is>
          <t>GBD. Severity mix (mild 0.074/mod 0.188) not resolved - flagged.</t>
        </is>
      </c>
    </row>
    <row r="23">
      <c r="A23" s="4" t="inlineStr">
        <is>
          <t>Episode duration (days)</t>
        </is>
      </c>
      <c r="B23" s="26" t="n">
        <v>4.3</v>
      </c>
      <c r="C23" s="4" t="inlineStr">
        <is>
          <t>judgment</t>
        </is>
      </c>
      <c r="D23" s="15" t="inlineStr">
        <is>
          <t>Typical acute episode.</t>
        </is>
      </c>
    </row>
    <row r="24">
      <c r="A24" s="3" t="inlineStr">
        <is>
          <t>YLD per episode (DALYs)</t>
        </is>
      </c>
      <c r="B24" s="31">
        <f>B22*B23/365</f>
        <v/>
      </c>
    </row>
    <row r="26">
      <c r="A26" s="5" t="inlineStr">
        <is>
          <t>EVIDENCE ADJUSTMENT PIPELINE (reported alongside; raw is decision-authoritative, R1)</t>
        </is>
      </c>
    </row>
    <row r="27">
      <c r="A27" s="4" t="inlineStr">
        <is>
          <t>Internal validity (IV)</t>
        </is>
      </c>
      <c r="B27" s="32" t="n">
        <v>0.8</v>
      </c>
      <c r="C27" s="15" t="inlineStr">
        <is>
          <t>Meta-anchored RR but judgment links (share, incidence) in chain</t>
        </is>
      </c>
    </row>
    <row r="28">
      <c r="A28" s="4" t="inlineStr">
        <is>
          <t>External validity (EV)</t>
        </is>
      </c>
      <c r="B28" s="32" t="n">
        <v>0.8</v>
      </c>
      <c r="C28" s="15" t="inlineStr">
        <is>
          <t>Household POU RCTs -&gt; school gravity-filter delivery</t>
        </is>
      </c>
    </row>
    <row r="29">
      <c r="A29" s="4" t="inlineStr">
        <is>
          <t>Publication bias (PB)</t>
        </is>
      </c>
      <c r="B29" s="32" t="n">
        <v>0.8</v>
      </c>
      <c r="C29" s="15" t="inlineStr">
        <is>
          <t>Wolf 2022: systematic review w/o funnel-plot confirmation here</t>
        </is>
      </c>
    </row>
    <row r="30">
      <c r="A30" s="4" t="inlineStr">
        <is>
          <t>Implementation quality (IQ)</t>
        </is>
      </c>
      <c r="B30" s="32" t="n">
        <v>0.95</v>
      </c>
      <c r="C30" s="15" t="inlineStr">
        <is>
          <t>Sensor-instrumented (Lume dMRV), strong MIS, issuing registry record</t>
        </is>
      </c>
    </row>
    <row r="31">
      <c r="A31" s="3" t="inlineStr">
        <is>
          <t>EAP composite</t>
        </is>
      </c>
      <c r="B31" s="33">
        <f>B27*B28*B29*B30</f>
        <v/>
      </c>
    </row>
    <row r="33">
      <c r="A33" s="5" t="inlineStr">
        <is>
          <t>CREDIT INTEGRITY (Metric 4) + CARBON</t>
        </is>
      </c>
    </row>
    <row r="34">
      <c r="A34" s="4" t="inlineStr">
        <is>
          <t>Residual baseline-practice factor (post-V2.0 reconstruction)</t>
        </is>
      </c>
      <c r="B34" s="28" t="n">
        <v>0.78</v>
      </c>
      <c r="C34" s="15" t="inlineStr">
        <is>
          <t>V2.0 yield cut already removed ~45% of V1 credits (net factor 0.5489); residual non-boiling-baseline risk. NEEDS measured school baseline survey.</t>
        </is>
      </c>
    </row>
    <row r="35">
      <c r="A35" s="4" t="inlineStr">
        <is>
          <t>Leakage/rebound factor</t>
        </is>
      </c>
      <c r="B35" s="27" t="n">
        <v>1</v>
      </c>
    </row>
    <row r="36">
      <c r="A36" s="3" t="inlineStr">
        <is>
          <t>Credit integrity ratio (real/credited)</t>
        </is>
      </c>
      <c r="B36" s="34">
        <f>B34*B21*B35</f>
        <v/>
      </c>
      <c r="C36" s="15" t="inlineStr">
        <is>
          <t>Uses the SAME delivery rate as the health chain (one usage number, two consumers).</t>
        </is>
      </c>
    </row>
    <row r="37">
      <c r="A37" s="4" t="inlineStr">
        <is>
          <t>Social Cost of Carbon ($/tCO2)</t>
        </is>
      </c>
      <c r="B37" s="35" t="n">
        <v>185</v>
      </c>
      <c r="C37" s="15" t="inlineStr">
        <is>
          <t>Rennert et al. 2022. Sensitivity: $51 (EPA interim) / $300.</t>
        </is>
      </c>
    </row>
    <row r="38">
      <c r="A38" s="4" t="inlineStr">
        <is>
          <t>GiveDirectly benchmark (units/$)</t>
        </is>
      </c>
      <c r="B38" s="36" t="n">
        <v>0.00335</v>
      </c>
    </row>
  </sheetData>
  <mergeCells count="5">
    <mergeCell ref="A26:L26"/>
    <mergeCell ref="A33:L33"/>
    <mergeCell ref="A11:L11"/>
    <mergeCell ref="A1:L1"/>
    <mergeCell ref="A17:L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0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60" customWidth="1" min="7" max="7"/>
  </cols>
  <sheetData>
    <row r="1">
      <c r="A1" s="6" t="inlineStr">
        <is>
          <t>TOP-LINE RESULTS — GiveWell Default headline</t>
        </is>
      </c>
    </row>
    <row r="2">
      <c r="A2" s="9" t="inlineStr">
        <is>
          <t>Metric</t>
        </is>
      </c>
      <c r="B2" s="9" t="inlineStr">
        <is>
          <t>Raw</t>
        </is>
      </c>
      <c r="C2" s="9" t="inlineStr">
        <is>
          <t>Evidence-adjusted</t>
        </is>
      </c>
    </row>
    <row r="3">
      <c r="A3" s="3" t="inlineStr">
        <is>
          <t>$/DALY averted</t>
        </is>
      </c>
      <c r="B3" s="10" t="n">
        <v>6822.349395508887</v>
      </c>
      <c r="C3" s="10" t="n">
        <v>14026.21175063504</v>
      </c>
    </row>
    <row r="4">
      <c r="A4" s="3" t="inlineStr">
        <is>
          <t>$/DCY (per doubled-consumption-year)</t>
        </is>
      </c>
      <c r="B4" s="10" t="n">
        <v>2966.23886761256</v>
      </c>
      <c r="C4" s="10" t="n">
        <v>6098.352935058715</v>
      </c>
    </row>
    <row r="5">
      <c r="A5" s="3" t="inlineStr">
        <is>
          <t>xCash_MU (ranking metric)</t>
        </is>
      </c>
      <c r="B5" s="13" t="n">
        <v>0.1034790375465771</v>
      </c>
      <c r="C5" s="14" t="inlineStr"/>
    </row>
    <row r="6">
      <c r="A6" s="15" t="inlineStr">
        <is>
          <t>$/DALY = $/DCY × 2.3 (units of value per DALY, GiveWell Default). $/DCY = $/unit of value = 298.51 ÷ xCash.</t>
        </is>
      </c>
    </row>
    <row r="8">
      <c r="A8" s="5" t="inlineStr">
        <is>
          <t>METRIC 1 — BENEFICIARY WELFARE (health pathway, full-delivery-cost basis)</t>
        </is>
      </c>
    </row>
    <row r="9">
      <c r="A9" s="3" t="inlineStr">
        <is>
          <t>Episodes averted 2024-33</t>
        </is>
      </c>
      <c r="B9" s="23">
        <f>Assumptions!B13*Assumptions!B18*Assumptions!B19*Assumptions!B20*Assumptions!B21</f>
        <v/>
      </c>
      <c r="G9" s="15" t="inlineStr">
        <is>
          <t>student-yrs x incidence x reduction x school share x delivery</t>
        </is>
      </c>
    </row>
    <row r="10">
      <c r="A10" s="3" t="inlineStr">
        <is>
          <t>DALYs averted (raw, YLD only)</t>
        </is>
      </c>
      <c r="B10" s="23">
        <f>B9*Assumptions!B24</f>
        <v/>
      </c>
      <c r="G10" s="15" t="inlineStr">
        <is>
          <t>episodes x YLD/episode. MORTALITY EXCLUDED (school-age diarrheal YLL small; conservative omission).</t>
        </is>
      </c>
    </row>
    <row r="11">
      <c r="A11" s="3" t="inlineStr">
        <is>
          <t>$/DALY averted (raw)</t>
        </is>
      </c>
      <c r="B11" s="24">
        <f>Assumptions!B12/B10</f>
        <v/>
      </c>
      <c r="G11" s="15" t="inlineStr">
        <is>
          <t>TOTAL_PROGRAMME_COST / DALYs</t>
        </is>
      </c>
    </row>
    <row r="12">
      <c r="A12" s="3" t="inlineStr">
        <is>
          <t>DALYs averted (evidence-adjusted)</t>
        </is>
      </c>
      <c r="B12" s="23">
        <f>B10*Assumptions!B31</f>
        <v/>
      </c>
      <c r="G12" s="15" t="inlineStr">
        <is>
          <t>raw x EAP composite</t>
        </is>
      </c>
    </row>
    <row r="13">
      <c r="A13" s="3" t="inlineStr">
        <is>
          <t>$/DALY averted (adjusted)</t>
        </is>
      </c>
      <c r="B13" s="24">
        <f>Assumptions!B12/B12</f>
        <v/>
      </c>
    </row>
    <row r="15">
      <c r="A15" s="5" t="inlineStr">
        <is>
          <t>xCASH — THREE FRAMEWORKS + MU (raw basis, R1)</t>
        </is>
      </c>
    </row>
    <row r="16">
      <c r="A16" s="3" t="inlineStr">
        <is>
          <t>xCash GiveWell Default (MW 2.3)</t>
        </is>
      </c>
      <c r="B16" s="37">
        <f>(B10*2.3/Assumptions!B12)/Assumptions!B38</f>
        <v/>
      </c>
    </row>
    <row r="17">
      <c r="A17" s="3" t="inlineStr">
        <is>
          <t>xCash Egalitarian (MW 1.0)</t>
        </is>
      </c>
      <c r="B17" s="37">
        <f>(B10*1.0/Assumptions!B12)/Assumptions!B38</f>
        <v/>
      </c>
    </row>
    <row r="18">
      <c r="A18" s="3" t="inlineStr">
        <is>
          <t>xCash WELLBY/FP (MW 3.6)</t>
        </is>
      </c>
      <c r="B18" s="37">
        <f>(B10*3.6/Assumptions!B12)/Assumptions!B38</f>
        <v/>
      </c>
    </row>
    <row r="19">
      <c r="A19" s="3" t="inlineStr">
        <is>
          <t>xCash_MU (0.45/0.25/0.30)</t>
        </is>
      </c>
      <c r="B19" s="37">
        <f>0.45*B16+0.25*B17+0.30*B18</f>
        <v/>
      </c>
      <c r="G19" s="15" t="inlineStr">
        <is>
          <t>Framework ranking stable (all far below cash bar on full cost) - the finding is the FRAME, not the framework.</t>
        </is>
      </c>
    </row>
    <row r="21">
      <c r="A21" s="5" t="inlineStr">
        <is>
          <t>METRICS 2-4 — CLIMATE, SELF-SUSTAINABILITY, INTEGRITY</t>
        </is>
      </c>
    </row>
    <row r="22">
      <c r="A22" s="3" t="inlineStr">
        <is>
          <t>$/tCO2e (credited)</t>
        </is>
      </c>
      <c r="B22" s="24">
        <f>Assumptions!B12/Assumptions!L4</f>
        <v/>
      </c>
    </row>
    <row r="23">
      <c r="A23" s="3" t="inlineStr">
        <is>
          <t>vs SCC (credited)</t>
        </is>
      </c>
      <c r="B23" s="37">
        <f>Assumptions!B37/B22</f>
        <v/>
      </c>
      <c r="G23" s="15" t="inlineStr">
        <is>
          <t>SCC / $ per tonne</t>
        </is>
      </c>
    </row>
    <row r="24">
      <c r="A24" s="3" t="inlineStr">
        <is>
          <t>$/tCO2e (integrity-adjusted)</t>
        </is>
      </c>
      <c r="B24" s="24">
        <f>Assumptions!B12/(Assumptions!L4*Assumptions!B36)</f>
        <v/>
      </c>
    </row>
    <row r="25">
      <c r="A25" s="3" t="inlineStr">
        <is>
          <t>vs SCC (integrity-adjusted)</t>
        </is>
      </c>
      <c r="B25" s="37">
        <f>Assumptions!B37/B24</f>
        <v/>
      </c>
    </row>
    <row r="26">
      <c r="A26" s="3" t="inlineStr">
        <is>
          <t>Carbon revenue / full cost</t>
        </is>
      </c>
      <c r="B26" s="34">
        <f>Assumptions!L5/Assumptions!B12</f>
        <v/>
      </c>
      <c r="G26" s="15" t="inlineStr">
        <is>
          <t>over 106%: program is self-financing over the window</t>
        </is>
      </c>
    </row>
    <row r="27">
      <c r="A27" s="3" t="inlineStr">
        <is>
          <t>Net philanthropic cost ($)</t>
        </is>
      </c>
      <c r="B27" s="24">
        <f>Assumptions!B12-Assumptions!L5</f>
        <v/>
      </c>
      <c r="G27" s="15" t="inlineStr">
        <is>
          <t>negative = carbon pays for everything incl. capex</t>
        </is>
      </c>
    </row>
    <row r="28">
      <c r="A28" s="3" t="inlineStr">
        <is>
          <t>Steady-state coverage 2029</t>
        </is>
      </c>
      <c r="B28" s="37">
        <f>Assumptions!G5/(Assumptions!G8+Assumptions!G9)</f>
        <v/>
      </c>
    </row>
    <row r="30">
      <c r="A30" s="5" t="inlineStr">
        <is>
          <t>ONE-WAY SCENARIOS (preliminary - no Monte Carlo)</t>
        </is>
      </c>
    </row>
    <row r="31">
      <c r="A31" s="38" t="inlineStr">
        <is>
          <t>Scenario</t>
        </is>
      </c>
      <c r="B31" s="38" t="inlineStr">
        <is>
          <t>Varied input</t>
        </is>
      </c>
      <c r="C31" s="21" t="inlineStr">
        <is>
          <t>DALYs (raw)</t>
        </is>
      </c>
      <c r="D31" s="9" t="inlineStr">
        <is>
          <t>$/DALY raw</t>
        </is>
      </c>
      <c r="E31" s="39" t="inlineStr">
        <is>
          <t>xCash GW</t>
        </is>
      </c>
      <c r="F31" s="40" t="inlineStr">
        <is>
          <t>xCash MU</t>
        </is>
      </c>
      <c r="G31" s="38" t="inlineStr">
        <is>
          <t>Assessment</t>
        </is>
      </c>
    </row>
    <row r="32">
      <c r="A32" s="4" t="inlineStr">
        <is>
          <t>S1 Incidence low</t>
        </is>
      </c>
      <c r="B32" s="26" t="n">
        <v>0.3</v>
      </c>
      <c r="C32" s="23">
        <f>Assumptions!B13*B32*Assumptions!B19*Assumptions!B20*Assumptions!B21*Assumptions!B24</f>
        <v/>
      </c>
      <c r="D32" s="24">
        <f>Assumptions!B12/C32</f>
        <v/>
      </c>
      <c r="E32" s="37">
        <f>(C32*2.3/Assumptions!B12)/Assumptions!B38</f>
        <v/>
      </c>
      <c r="F32" s="37">
        <f>E32*1.0282608695652176</f>
        <v/>
      </c>
      <c r="G32" s="4" t="inlineStr">
        <is>
          <t>xCash halves; still &gt;&gt;SCC on climate</t>
        </is>
      </c>
    </row>
    <row r="33">
      <c r="A33" s="4" t="inlineStr">
        <is>
          <t>S2 Incidence high</t>
        </is>
      </c>
      <c r="B33" s="26" t="n">
        <v>1.2</v>
      </c>
      <c r="C33" s="23">
        <f>Assumptions!B13*B33*Assumptions!B19*Assumptions!B20*Assumptions!B21*Assumptions!B24</f>
        <v/>
      </c>
      <c r="D33" s="24">
        <f>Assumptions!B12/C33</f>
        <v/>
      </c>
      <c r="E33" s="37">
        <f>(C33*2.3/Assumptions!B12)/Assumptions!B38</f>
        <v/>
      </c>
      <c r="F33" s="37">
        <f>E33*1.0282608695652176</f>
        <v/>
      </c>
      <c r="G33" s="4" t="inlineStr">
        <is>
          <t>xCash 0.20x; frame unchanged</t>
        </is>
      </c>
    </row>
    <row r="34">
      <c r="A34" s="4" t="inlineStr">
        <is>
          <t>S3 School water share low</t>
        </is>
      </c>
      <c r="B34" s="28" t="n">
        <v>0.2</v>
      </c>
      <c r="C34" s="23">
        <f>Assumptions!B13*Assumptions!B18*Assumptions!B19*B34*Assumptions!B21*Assumptions!B24</f>
        <v/>
      </c>
      <c r="D34" s="24">
        <f>Assumptions!B12/C34</f>
        <v/>
      </c>
      <c r="E34" s="37">
        <f>(C34*2.3/Assumptions!B12)/Assumptions!B38</f>
        <v/>
      </c>
      <c r="F34" s="37">
        <f>E34*1.0282608695652176</f>
        <v/>
      </c>
      <c r="G34" s="4" t="inlineStr"/>
    </row>
    <row r="35">
      <c r="A35" s="4" t="inlineStr">
        <is>
          <t>S4 School water share high</t>
        </is>
      </c>
      <c r="B35" s="28" t="n">
        <v>0.4</v>
      </c>
      <c r="C35" s="23">
        <f>Assumptions!B13*Assumptions!B18*Assumptions!B19*B35*Assumptions!B21*Assumptions!B24</f>
        <v/>
      </c>
      <c r="D35" s="24">
        <f>Assumptions!B12/C35</f>
        <v/>
      </c>
      <c r="E35" s="37">
        <f>(C35*2.3/Assumptions!B12)/Assumptions!B38</f>
        <v/>
      </c>
      <c r="F35" s="37">
        <f>E35*1.0282608695652176</f>
        <v/>
      </c>
      <c r="G35" s="4" t="inlineStr"/>
    </row>
    <row r="36">
      <c r="A36" s="4" t="inlineStr">
        <is>
          <t>S5 GiveWell-conservative reduction</t>
        </is>
      </c>
      <c r="B36" s="28" t="n">
        <v>0.25</v>
      </c>
      <c r="C36" s="23">
        <f>Assumptions!B13*Assumptions!B18*B36*Assumptions!B20*Assumptions!B21*Assumptions!B24</f>
        <v/>
      </c>
      <c r="D36" s="24">
        <f>Assumptions!B12/C36</f>
        <v/>
      </c>
      <c r="E36" s="37">
        <f>(C36*2.3/Assumptions!B12)/Assumptions!B38</f>
        <v/>
      </c>
      <c r="F36" s="37">
        <f>E36*1.0282608695652176</f>
        <v/>
      </c>
      <c r="G36" s="4" t="inlineStr">
        <is>
          <t>ILC-style conservative effect</t>
        </is>
      </c>
    </row>
    <row r="37">
      <c r="A37" s="4" t="inlineStr">
        <is>
          <t>S6 + fuelwood savings (13,000 t/yr x $40/t x 10yr)</t>
        </is>
      </c>
      <c r="B37" s="41" t="n">
        <v>5200000</v>
      </c>
      <c r="C37" s="23">
        <f>B10</f>
        <v/>
      </c>
      <c r="D37" s="24">
        <f>Assumptions!B12/((C37*2.3+B37*Assumptions!B38)/2.3)</f>
        <v/>
      </c>
      <c r="E37" s="37">
        <f>((C37*2.3+B37*Assumptions!B38)/Assumptions!B12)/Assumptions!B38</f>
        <v/>
      </c>
      <c r="F37" s="37">
        <f>0.45*E37+0.25*((C37*1.0+B37*Assumptions!B38)/Assumptions!B12)/Assumptions!B38+0.30*((C37*3.6+B37*Assumptions!B38)/Assumptions!B12)/Assumptions!B38</f>
        <v/>
      </c>
      <c r="G37" s="4" t="inlineStr">
        <is>
          <t>Fuel units would DOMINATE health 4:1. Unverified incidence (school budgets, not households) - NEVER central until measured. $/DALY col = DALY-equivalent.</t>
        </is>
      </c>
    </row>
    <row r="38">
      <c r="A38" s="4" t="inlineStr">
        <is>
          <t>S7 + allocated portfolio opex (~40% share, ~$2.5M)</t>
        </is>
      </c>
      <c r="B38" s="41" t="n">
        <v>2500000</v>
      </c>
      <c r="C38" s="23">
        <f>B10</f>
        <v/>
      </c>
      <c r="D38" s="24">
        <f>(Assumptions!B12+B38)/C38</f>
        <v/>
      </c>
      <c r="E38" s="37">
        <f>(C38*2.3/(Assumptions!B12+B38))/Assumptions!B38</f>
        <v/>
      </c>
      <c r="F38" s="37">
        <f>E38*1.0282608695652176</f>
        <v/>
      </c>
      <c r="G38" s="4" t="inlineStr">
        <is>
          <t>Portfolio PM/verification/dMRV share; also raises $/tCO2 to ~$20 (9.4x SCC)</t>
        </is>
      </c>
    </row>
    <row r="40">
      <c r="A40" s="15" t="inlineStr">
        <is>
          <t>Recomputed robustness claims (R4): worst single-input health case (S1) = xCash 0.05x GW and $13.6K/DALY raw - the health frame NEVER approaches the cash bar on full cost; no single input reverses the climate finding (integrity-adjusted $/tCO2 stays under $31/t at integrity &gt;= 0.53, i.e. &gt;= 6x SCC).</t>
        </is>
      </c>
    </row>
  </sheetData>
  <mergeCells count="5">
    <mergeCell ref="A1:C1"/>
    <mergeCell ref="A8:G8"/>
    <mergeCell ref="A21:G21"/>
    <mergeCell ref="A30:G30"/>
    <mergeCell ref="A15:G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68" customWidth="1" min="3" max="3"/>
  </cols>
  <sheetData>
    <row r="1">
      <c r="A1" s="21" t="inlineStr">
        <is>
          <t>Critique Dimension</t>
        </is>
      </c>
      <c r="B1" s="21" t="inlineStr">
        <is>
          <t>Rating</t>
        </is>
      </c>
      <c r="C1" s="21" t="inlineStr">
        <is>
          <t>Assessment</t>
        </is>
      </c>
    </row>
    <row r="2" ht="80" customHeight="1">
      <c r="A2" s="3" t="inlineStr">
        <is>
          <t>1. Effect size quality</t>
        </is>
      </c>
      <c r="B2" s="42" t="inlineStr">
        <is>
          <t>WEAK</t>
        </is>
      </c>
      <c r="C2" s="43" t="inlineStr">
        <is>
          <t>EAP composite 0.486 (IV .80 x EV .80 x PB .80 x IQ .95). The RR anchor (Wolf 2022) is solid; the chain multiplies it by two JUDGMENT inputs (incidence 0.6, school share 0.3) with no Rwanda data. Program's own 29% claim (LSHTM/Emory) not yet traced to source in studies/. PRELIMINARY is the correct status; upgrade to Full requires GBD burden lookup + the underlying evaluations.</t>
        </is>
      </c>
    </row>
    <row r="3" ht="80" customHeight="1">
      <c r="A3" s="3" t="inlineStr">
        <is>
          <t>2. Counterfactual robustness</t>
        </is>
      </c>
      <c r="B3" s="44" t="inlineStr">
        <is>
          <t>MODERATE</t>
        </is>
      </c>
      <c r="C3" s="43" t="inlineStr">
        <is>
          <t>Health-side funging low: no other funder provides school POU water treatment at this scale in Rwanda (GoR/UNICEF WASH budgets target infrastructure, not school treatment) - P(funging) ~0.05-0.10, not yet modeled. Carbon-side: GS12240 registered w/ PetroChina ERPA - another developer COULD run it at these margins; climate additionality is the sharper question and is unmodeled in v1.</t>
        </is>
      </c>
    </row>
    <row r="4" ht="80" customHeight="1">
      <c r="A4" s="3" t="inlineStr">
        <is>
          <t>3. Moral weight transparency</t>
        </is>
      </c>
      <c r="B4" s="45" t="inlineStr">
        <is>
          <t>STRONG</t>
        </is>
      </c>
      <c r="C4" s="43" t="inlineStr">
        <is>
          <t>All four figures reported. Ranking stable across frameworks (0.04-0.16x); framework choice is immaterial because the finding is the FRAME: full-cost health CE is ~0.10x cash, and the case rests on carbon covering 106% of cost (health benefits free to philanthropy) + climate CE 11.3x SCC.</t>
        </is>
      </c>
    </row>
    <row r="5" ht="80" customHeight="1">
      <c r="A5" s="3" t="inlineStr">
        <is>
          <t>4. Attribution logic</t>
        </is>
      </c>
      <c r="B5" s="45" t="inlineStr">
        <is>
          <t>MODERATE-STRONG</t>
        </is>
      </c>
      <c r="C5" s="43" t="inlineStr">
        <is>
          <t>Virridy is developer AND operator (own subsidiary) - attribution ~1.0 is defensible, no partner split. Integrity ratio 0.70 = residual baseline 0.78 (flagged judgment) x sensor-verified delivery 0.90 x leakage 1.0; delivery term shared with the health chain (no double standard). V2.0 yield reconstruction already removed ~45% of V1 credits - integrity risk is the RESIDUAL baseline term.</t>
        </is>
      </c>
    </row>
    <row r="6" ht="80" customHeight="1">
      <c r="A6" s="3" t="inlineStr">
        <is>
          <t>5. Excluded factors</t>
        </is>
      </c>
      <c r="B6" s="42" t="inlineStr">
        <is>
          <t>FLAG</t>
        </is>
      </c>
      <c r="C6" s="43" t="inlineStr">
        <is>
          <t>Excluded: ARI reduction claim (25%, unverified) - optimistic omission if real; school-age diarrheal mortality YLL (conservative omission, small); household spillover of safe water knowledge (conservative); fuelwood savings (S6 - would dominate if verified, 4:1); allocated portfolio overhead (S7 - optimistic omission ~+20% cost); post-2033 operation (15-yr crediting period vs 10-yr window - conservative, steady-state years are the cheapest). Net direction: conservative on benefits, optimistic on cost boundary.</t>
        </is>
      </c>
    </row>
    <row r="7" ht="80" customHeight="1">
      <c r="A7" s="3" t="inlineStr">
        <is>
          <t>6. Ranking stability</t>
        </is>
      </c>
      <c r="B7" s="44" t="inlineStr">
        <is>
          <t>MODERATE</t>
        </is>
      </c>
      <c r="C7" s="43" t="inlineStr">
        <is>
          <t>Health frame: stable (never near bar; S1-S7 range 0.05-0.53x, top only via unverified fuel units). Climate frame: stable (integrity-adjusted 7.9x SCC; needs integrity &lt; 0.089 to fail SCC test). Reversal condition for the SELF-FINANCING finding: realized price below ~$16.4/t average or issuance shortfall &gt; 6% vs base - i.e. the downside/contracted scenario ($10 floor) would flip coverage to ~61% and net philanthropic cost to ~$4.8M ($2.7K/DALY net basis).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2026-08-07T21:47:00Z</dcterms:created>
  <dcterms:modified xmlns:dcterms="http://purl.org/dc/terms/" xmlns:xsi="http://www.w3.org/2001/XMLSchema-instance" xsi:type="dcterms:W3CDTF">2026-08-07T21:47:00Z</dcterms:modified>
</cp:coreProperties>
</file>