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CEA Model" sheetId="3" state="visible" r:id="rId3"/>
    <sheet xmlns:r="http://schemas.openxmlformats.org/officeDocument/2006/relationships" name="Critiqu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$#,##0"/>
    <numFmt numFmtId="165" formatCode="0.0x"/>
    <numFmt numFmtId="166" formatCode="0.0%"/>
    <numFmt numFmtId="167" formatCode="$#,##0.00"/>
    <numFmt numFmtId="168" formatCode="0.0"/>
    <numFmt numFmtId="169" formatCode="0.00000"/>
    <numFmt numFmtId="170" formatCode="0.000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b val="1"/>
      <color rgb="00000000"/>
      <sz val="10"/>
    </font>
    <font>
      <name val="Arial"/>
      <color rgb="00000000"/>
      <sz val="10"/>
    </font>
    <font>
      <name val="Arial"/>
      <color rgb="000000FF"/>
      <sz val="10"/>
    </font>
    <font>
      <name val="Arial"/>
      <color rgb="00008000"/>
      <sz val="10"/>
    </font>
    <font>
      <name val="Arial"/>
      <b val="1"/>
      <color rgb="00FFFFFF"/>
      <sz val="10"/>
    </font>
    <font>
      <name val="Arial"/>
      <i val="1"/>
      <color rgb="00666666"/>
      <sz val="9"/>
    </font>
  </fonts>
  <fills count="11">
    <fill>
      <patternFill/>
    </fill>
    <fill>
      <patternFill patternType="gray125"/>
    </fill>
    <fill>
      <patternFill patternType="solid">
        <fgColor rgb="001A7A6E"/>
      </patternFill>
    </fill>
    <fill>
      <patternFill patternType="solid">
        <fgColor rgb="001F4E79"/>
      </patternFill>
    </fill>
    <fill>
      <patternFill patternType="solid">
        <fgColor rgb="00D9D9D9"/>
      </patternFill>
    </fill>
    <fill>
      <patternFill patternType="solid">
        <fgColor rgb="00FFFF00"/>
      </patternFill>
    </fill>
    <fill>
      <patternFill patternType="solid">
        <fgColor rgb="00E8D5F5"/>
      </patternFill>
    </fill>
    <fill>
      <patternFill patternType="solid">
        <fgColor rgb="007B2D8B"/>
      </patternFill>
    </fill>
    <fill>
      <patternFill patternType="solid">
        <fgColor rgb="00B8860B"/>
      </patternFill>
    </fill>
    <fill>
      <patternFill patternType="solid">
        <fgColor rgb="00FDECEA"/>
      </patternFill>
    </fill>
    <fill>
      <patternFill patternType="solid">
        <fgColor rgb="00FAEEDA"/>
      </patternFill>
    </fill>
  </fills>
  <borders count="6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/>
      <right/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/>
      <diagonal/>
    </border>
    <border>
      <left/>
      <right/>
      <top style="thin">
        <color rgb="00BBBBBB"/>
      </top>
      <bottom style="thin">
        <color rgb="00BBBBBB"/>
      </bottom>
      <diagonal/>
    </border>
    <border>
      <left/>
      <right style="thin">
        <color rgb="00BBBBBB"/>
      </right>
      <top style="thin">
        <color rgb="00BBBBBB"/>
      </top>
      <bottom style="thin">
        <color rgb="00BBBBBB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8" fillId="0" borderId="0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center" wrapText="1"/>
    </xf>
    <xf numFmtId="164" fontId="3" fillId="0" borderId="1" pivotButton="0" quotePrefix="0" xfId="0"/>
    <xf numFmtId="165" fontId="3" fillId="0" borderId="1" pivotButton="0" quotePrefix="0" xfId="0"/>
    <xf numFmtId="166" fontId="3" fillId="0" borderId="1" pivotButton="0" quotePrefix="0" xfId="0"/>
    <xf numFmtId="167" fontId="3" fillId="0" borderId="1" pivotButton="0" quotePrefix="0" xfId="0"/>
    <xf numFmtId="3" fontId="3" fillId="0" borderId="1" pivotButton="0" quotePrefix="0" xfId="0"/>
    <xf numFmtId="0" fontId="7" fillId="2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168" fontId="5" fillId="0" borderId="1" applyAlignment="1" pivotButton="0" quotePrefix="0" xfId="0">
      <alignment horizontal="right" vertical="center"/>
    </xf>
    <xf numFmtId="3" fontId="5" fillId="5" borderId="1" applyAlignment="1" pivotButton="0" quotePrefix="0" xfId="0">
      <alignment horizontal="right" vertical="center"/>
    </xf>
    <xf numFmtId="2" fontId="5" fillId="5" borderId="1" applyAlignment="1" pivotButton="0" quotePrefix="0" xfId="0">
      <alignment horizontal="right" vertical="center"/>
    </xf>
    <xf numFmtId="164" fontId="4" fillId="0" borderId="1" applyAlignment="1" pivotButton="0" quotePrefix="0" xfId="0">
      <alignment horizontal="right" vertical="center"/>
    </xf>
    <xf numFmtId="167" fontId="4" fillId="0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9" fontId="5" fillId="0" borderId="1" applyAlignment="1" pivotButton="0" quotePrefix="0" xfId="0">
      <alignment horizontal="right" vertical="center"/>
    </xf>
    <xf numFmtId="170" fontId="5" fillId="5" borderId="1" applyAlignment="1" pivotButton="0" quotePrefix="0" xfId="0">
      <alignment horizontal="right" vertical="center"/>
    </xf>
    <xf numFmtId="2" fontId="5" fillId="0" borderId="1" applyAlignment="1" pivotButton="0" quotePrefix="0" xfId="0">
      <alignment horizontal="right" vertical="center"/>
    </xf>
    <xf numFmtId="170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168" fontId="4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right" vertical="center"/>
    </xf>
    <xf numFmtId="165" fontId="5" fillId="0" borderId="1" pivotButton="0" quotePrefix="0" xfId="0"/>
    <xf numFmtId="0" fontId="3" fillId="9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34" customWidth="1" min="1" max="1"/>
    <col width="58" customWidth="1" min="2" max="2"/>
  </cols>
  <sheetData>
    <row r="1" ht="32" customHeight="1">
      <c r="A1" s="1" t="inlineStr">
        <is>
          <t>COST-EFFECTIVENESS ANALYSIS</t>
        </is>
      </c>
    </row>
    <row r="2" ht="22" customHeight="1">
      <c r="A2" s="2" t="inlineStr">
        <is>
          <t>HELVETAS MADAGASCAR (RANOVOLA) — PRELIMINARY: insufficient evidence for probabilistic analysis</t>
        </is>
      </c>
    </row>
    <row r="4">
      <c r="A4" s="3" t="inlineStr">
        <is>
          <t>Intervention</t>
        </is>
      </c>
      <c r="B4" s="4" t="inlineStr">
        <is>
          <t>Gravity-fed piped + solar-pumped chlorinated water systems; private-operator tariff model</t>
        </is>
      </c>
    </row>
    <row r="5">
      <c r="A5" s="3" t="inlineStr">
        <is>
          <t>Pathway</t>
        </is>
      </c>
      <c r="B5" s="4" t="inlineStr">
        <is>
          <t>Carbon-financed safe water (Gate A: YES). EARLIEST-STAGE program in the portfolio</t>
        </is>
      </c>
    </row>
    <row r="6">
      <c r="A6" s="3" t="inlineStr">
        <is>
          <t>Geography</t>
        </is>
      </c>
      <c r="B6" s="4" t="inlineStr">
        <is>
          <t>Madagascar — Diana, Menabe, Amoron'i Mania; target 350,000 people by 2030</t>
        </is>
      </c>
    </row>
    <row r="7">
      <c r="A7" s="3" t="inlineStr">
        <is>
          <t>Program window</t>
        </is>
      </c>
      <c r="B7" s="4" t="inlineStr">
        <is>
          <t>2025-2033 (proforma horizon); first issuance 2027 (already slipped one year)</t>
        </is>
      </c>
    </row>
    <row r="8">
      <c r="A8" s="3" t="inlineStr">
        <is>
          <t>COST BASIS — READ FIRST</t>
        </is>
      </c>
      <c r="B8" s="4" t="inlineStr">
        <is>
          <t>Virridy CARBON-FINANCING outlay only ($0.21M first batch + credit purchases). Partner delivery capex is NOT included. $/DALY is NOT full-delivery-cost and NOT GiveWell-comparable.</t>
        </is>
      </c>
    </row>
    <row r="9">
      <c r="A9" s="3" t="inlineStr">
        <is>
          <t>Analyst / Date</t>
        </is>
      </c>
      <c r="B9" s="4" t="inlineStr">
        <is>
          <t>Virridy Carbon CEA Toolbox (Claude) — 2026-08-07</t>
        </is>
      </c>
    </row>
    <row r="10">
      <c r="A10" s="3" t="inlineStr">
        <is>
          <t>Version</t>
        </is>
      </c>
      <c r="B10" s="4" t="inlineStr">
        <is>
          <t>v1 PRELIMINARY</t>
        </is>
      </c>
    </row>
    <row r="13">
      <c r="A13" s="5" t="inlineStr">
        <is>
          <t>COLOR KEY</t>
        </is>
      </c>
    </row>
    <row r="14">
      <c r="A14" s="6" t="inlineStr">
        <is>
          <t>TOP-LINE RESULTS — GiveWell Default headline</t>
        </is>
      </c>
      <c r="B14" s="7" t="n"/>
      <c r="C14" s="8" t="n"/>
    </row>
    <row r="15">
      <c r="A15" s="9" t="inlineStr">
        <is>
          <t>Metric</t>
        </is>
      </c>
      <c r="B15" s="9" t="inlineStr">
        <is>
          <t>Raw</t>
        </is>
      </c>
      <c r="C15" s="9" t="inlineStr">
        <is>
          <t>Evidence-adjusted</t>
        </is>
      </c>
    </row>
    <row r="16">
      <c r="A16" s="3" t="inlineStr">
        <is>
          <t>$/DALY averted</t>
        </is>
      </c>
      <c r="B16" s="10" t="n">
        <v>571.6724484420192</v>
      </c>
      <c r="C16" s="10" t="n">
        <v>2083.354403943219</v>
      </c>
    </row>
    <row r="17">
      <c r="A17" s="11" t="inlineStr">
        <is>
          <t>$/DCY (per doubled-consumption-year)</t>
        </is>
      </c>
      <c r="B17" s="10" t="n">
        <v>248.5532384530518</v>
      </c>
      <c r="C17" s="10" t="n">
        <v>905.8062625840083</v>
      </c>
    </row>
    <row r="18">
      <c r="A18" s="12" t="inlineStr">
        <is>
          <t>xCash_MU (ranking metric)</t>
        </is>
      </c>
      <c r="B18" s="13" t="n">
        <v>1.722268542798235</v>
      </c>
      <c r="C18" s="14" t="inlineStr"/>
    </row>
    <row r="19">
      <c r="A19" s="15" t="inlineStr">
        <is>
          <t>$/DALY = $/DCY × 2.3 (units of value per DALY, GiveWell Default). $/DCY = $/unit of value = 298.51 ÷ xCash. CARBON-FINANCING COST BASIS: cost = Virridy credit purchases (2.75M), not full delivery cost. Interpretation: what the carbon channel's dollars buy, not what the program costs to run.</t>
        </is>
      </c>
    </row>
    <row r="21">
      <c r="A21" s="16" t="inlineStr">
        <is>
          <t>CARBON METRICS</t>
        </is>
      </c>
    </row>
    <row r="22">
      <c r="A22" s="3" t="inlineStr">
        <is>
          <t>$/tCO2e financing basis (as credited)</t>
        </is>
      </c>
      <c r="B22" s="17" t="n">
        <v>10.3092699311383</v>
      </c>
    </row>
    <row r="23">
      <c r="A23" s="3" t="inlineStr">
        <is>
          <t xml:space="preserve">  vs SCC $185 (credited)</t>
        </is>
      </c>
      <c r="B23" s="18" t="n">
        <v>17.94501465532713</v>
      </c>
    </row>
    <row r="24">
      <c r="A24" s="3" t="inlineStr">
        <is>
          <t>$/tCO2e integrity-adjusted</t>
        </is>
      </c>
      <c r="B24" s="17" t="n">
        <v>20.21425476693783</v>
      </c>
    </row>
    <row r="25">
      <c r="A25" s="3" t="inlineStr">
        <is>
          <t xml:space="preserve">  vs SCC $185 (integrity basis)</t>
        </is>
      </c>
      <c r="B25" s="18" t="n">
        <v>9.151957474216834</v>
      </c>
    </row>
    <row r="26">
      <c r="A26" s="3" t="inlineStr">
        <is>
          <t>Credit integrity ratio (real/credited)</t>
        </is>
      </c>
      <c r="B26" s="19" t="n">
        <v>0.51</v>
      </c>
    </row>
    <row r="27">
      <c r="A27" s="3" t="inlineStr">
        <is>
          <t>Carbon financing per person-year of service</t>
        </is>
      </c>
      <c r="B27" s="20" t="n">
        <v>2.164946685539042</v>
      </c>
    </row>
    <row r="28">
      <c r="A28" s="3" t="inlineStr">
        <is>
          <t>Person-years financed 2025-33 (derived)</t>
        </is>
      </c>
      <c r="B28" s="21" t="n">
        <v>1271700</v>
      </c>
    </row>
    <row r="29">
      <c r="A29" s="15" t="inlineStr">
        <is>
          <t>Integrity 0.51 is the portfolio's LOWEST modeled value: the 0.21 yield predates the 2026 methodology reconstruction that cut comparable school-program yields ~45%. Expect the reconstruction to reduce credited volume; the integrity-adjusted climate figure anticipates it.</t>
        </is>
      </c>
    </row>
  </sheetData>
  <mergeCells count="5">
    <mergeCell ref="A21:B21"/>
    <mergeCell ref="A2:B2"/>
    <mergeCell ref="A14:C14"/>
    <mergeCell ref="A13:B13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5" customWidth="1" min="11" max="11"/>
  </cols>
  <sheetData>
    <row r="1">
      <c r="A1" s="5" t="inlineStr">
        <is>
          <t>PROFORMA SERIES 2025-2033 (portfolio financial model, base scenario — extraction 2026-08-07)</t>
        </is>
      </c>
    </row>
    <row r="2">
      <c r="A2" s="22" t="inlineStr">
        <is>
          <t>Series</t>
        </is>
      </c>
      <c r="B2" s="9" t="n">
        <v>2025</v>
      </c>
      <c r="C2" s="9" t="n">
        <v>2026</v>
      </c>
      <c r="D2" s="9" t="n">
        <v>2027</v>
      </c>
      <c r="E2" s="9" t="n">
        <v>2028</v>
      </c>
      <c r="F2" s="9" t="n">
        <v>2029</v>
      </c>
      <c r="G2" s="9" t="n">
        <v>2030</v>
      </c>
      <c r="H2" s="9" t="n">
        <v>2031</v>
      </c>
      <c r="I2" s="9" t="n">
        <v>2032</v>
      </c>
      <c r="J2" s="9" t="n">
        <v>2033</v>
      </c>
      <c r="K2" s="22" t="inlineStr">
        <is>
          <t>Total</t>
        </is>
      </c>
    </row>
    <row r="3">
      <c r="A3" s="4" t="inlineStr">
        <is>
          <t>Projected credits (tCO2e)</t>
        </is>
      </c>
      <c r="B3" s="23" t="n">
        <v>0</v>
      </c>
      <c r="C3" s="23" t="n">
        <v>0</v>
      </c>
      <c r="D3" s="23" t="n">
        <v>11751</v>
      </c>
      <c r="E3" s="23" t="n">
        <v>18051</v>
      </c>
      <c r="F3" s="23" t="n">
        <v>28551</v>
      </c>
      <c r="G3" s="23" t="n">
        <v>39051</v>
      </c>
      <c r="H3" s="23" t="n">
        <v>49551</v>
      </c>
      <c r="I3" s="23" t="n">
        <v>60051</v>
      </c>
      <c r="J3" s="23" t="n">
        <v>60051</v>
      </c>
      <c r="K3" s="24">
        <f>SUM(B3:J3)</f>
        <v/>
      </c>
    </row>
    <row r="4">
      <c r="A4" s="4" t="inlineStr">
        <is>
          <t>Buy price to partner ($/credit)</t>
        </is>
      </c>
      <c r="B4" s="25" t="n">
        <v>9.199999999999999</v>
      </c>
      <c r="C4" s="25" t="n">
        <v>9.199999999999999</v>
      </c>
      <c r="D4" s="25" t="n">
        <v>9.300000000000001</v>
      </c>
      <c r="E4" s="25" t="n">
        <v>9.5</v>
      </c>
      <c r="F4" s="25" t="n">
        <v>9.6</v>
      </c>
      <c r="G4" s="25" t="n">
        <v>9.699999999999999</v>
      </c>
      <c r="H4" s="25" t="n">
        <v>9.800000000000001</v>
      </c>
      <c r="I4" s="25" t="n">
        <v>9.9</v>
      </c>
      <c r="J4" s="25" t="n">
        <v>9.9</v>
      </c>
    </row>
    <row r="5">
      <c r="A5" s="4" t="inlineStr">
        <is>
          <t>Population served (derived = credits / yield)</t>
        </is>
      </c>
      <c r="B5" s="24">
        <f>B3/$B$7</f>
        <v/>
      </c>
      <c r="C5" s="24">
        <f>C3/$B$7</f>
        <v/>
      </c>
      <c r="D5" s="24">
        <f>D3/$B$7</f>
        <v/>
      </c>
      <c r="E5" s="24">
        <f>E3/$B$7</f>
        <v/>
      </c>
      <c r="F5" s="24">
        <f>F3/$B$7</f>
        <v/>
      </c>
      <c r="G5" s="24">
        <f>G3/$B$7</f>
        <v/>
      </c>
      <c r="H5" s="24">
        <f>H3/$B$7</f>
        <v/>
      </c>
      <c r="I5" s="24">
        <f>I3/$B$7</f>
        <v/>
      </c>
      <c r="J5" s="24">
        <f>J3/$B$7</f>
        <v/>
      </c>
      <c r="K5" s="24">
        <f>SUM(B5:J5)</f>
        <v/>
      </c>
      <c r="L5" s="15" t="inlineStr">
        <is>
          <t>person-years</t>
        </is>
      </c>
    </row>
    <row r="6">
      <c r="A6" s="4" t="inlineStr">
        <is>
          <t>Virridy carbon outlay ($; first 7,000 cr at $30, rest at buy price)</t>
        </is>
      </c>
      <c r="B6" s="23" t="n">
        <v>0</v>
      </c>
      <c r="C6" s="23" t="n">
        <v>0</v>
      </c>
      <c r="D6" s="26" t="n">
        <v>254184.3</v>
      </c>
      <c r="E6" s="23" t="n">
        <v>171484.5</v>
      </c>
      <c r="F6" s="23" t="n">
        <v>274089.6</v>
      </c>
      <c r="G6" s="23" t="n">
        <v>378794.7</v>
      </c>
      <c r="H6" s="23" t="n">
        <v>485599.8</v>
      </c>
      <c r="I6" s="23" t="n">
        <v>594504.9</v>
      </c>
      <c r="J6" s="23" t="n">
        <v>594504.9</v>
      </c>
      <c r="K6" s="24">
        <f>SUM(B6:J6)</f>
        <v/>
      </c>
    </row>
    <row r="7">
      <c r="A7" s="4" t="inlineStr">
        <is>
          <t>Credit yield (cr/person/yr)</t>
        </is>
      </c>
      <c r="B7" s="27" t="n">
        <v>0.21</v>
      </c>
      <c r="C7" s="15" t="inlineStr">
        <is>
          <t>BOOKED, PENDING V2.0 RECONSTRUCTION. Comparable reconstructed school yields fell ~45%. Population ramp is DERIVED from credits at this yield; the 350,000-by-2030 program target exceeds the derived 2030 figure because crediting lags service by ~2 years — flagged tension.</t>
        </is>
      </c>
    </row>
    <row r="9">
      <c r="A9" s="5" t="inlineStr">
        <is>
          <t>COST BASIS — SINGLE DENOMINATOR (carbon-financing basis)</t>
        </is>
      </c>
    </row>
    <row r="10">
      <c r="A10" s="3" t="inlineStr">
        <is>
          <t>TOTAL CARBON-FINANCING COST 2025-2033 ($)</t>
        </is>
      </c>
      <c r="B10" s="28">
        <f>K6</f>
        <v/>
      </c>
      <c r="C10" s="15" t="inlineStr">
        <is>
          <t>NOT full delivery cost: Helvetas/RANO WASH construction capex sits with the partner and its donors, outside this model. No figure below is GiveWell-comparable.</t>
        </is>
      </c>
    </row>
    <row r="11">
      <c r="A11" s="3" t="inlineStr">
        <is>
          <t>Person-years financed</t>
        </is>
      </c>
      <c r="B11" s="24">
        <f>K5</f>
        <v/>
      </c>
    </row>
    <row r="12">
      <c r="A12" s="3" t="inlineStr">
        <is>
          <t>Financing per person-year ($)</t>
        </is>
      </c>
      <c r="B12" s="29">
        <f>B10/B11</f>
        <v/>
      </c>
    </row>
    <row r="14">
      <c r="A14" s="5" t="inlineStr">
        <is>
          <t>HEALTH CHAIN INPUTS (financing basis)</t>
        </is>
      </c>
    </row>
    <row r="15">
      <c r="A15" s="4" t="inlineStr">
        <is>
          <t>Under-five share of served population</t>
        </is>
      </c>
      <c r="B15" s="30" t="n">
        <v>0.17</v>
      </c>
      <c r="C15" s="15" t="inlineStr">
        <is>
          <t>Madagascar age structure; GBD/DHS lookup pending.</t>
        </is>
      </c>
    </row>
    <row r="16">
      <c r="A16" s="4" t="inlineStr">
        <is>
          <t>Diarrheal incidence, under-five (episodes/child-yr)</t>
        </is>
      </c>
      <c r="B16" s="27" t="n">
        <v>1</v>
      </c>
      <c r="C16" s="15" t="inlineStr">
        <is>
          <t>GBD pending. Partner-published context: 51% of under-fives affected by diarrheal disease.</t>
        </is>
      </c>
    </row>
    <row r="17">
      <c r="A17" s="4" t="inlineStr">
        <is>
          <t>Diarrheal incidence, over-five (episodes/person-yr)</t>
        </is>
      </c>
      <c r="B17" s="27" t="n">
        <v>0.35</v>
      </c>
      <c r="C17" s="15" t="inlineStr">
        <is>
          <t>GBD pending.</t>
        </is>
      </c>
    </row>
    <row r="18">
      <c r="A18" s="4" t="inlineStr">
        <is>
          <t>Diarrhea reduction, piped treated supply</t>
        </is>
      </c>
      <c r="B18" s="31" t="n">
        <v>0.3</v>
      </c>
      <c r="C18" s="15" t="inlineStr">
        <is>
          <t>Wolf et al. 2022 (Lancet), piped water of higher quality.</t>
        </is>
      </c>
    </row>
    <row r="19">
      <c r="A19" s="4" t="inlineStr">
        <is>
          <t>Enrollment (share of pop actually connected)</t>
        </is>
      </c>
      <c r="B19" s="30" t="n">
        <v>0.85</v>
      </c>
      <c r="C19" s="15" t="inlineStr">
        <is>
          <t>No enrollment data yet; launched 2025.</t>
        </is>
      </c>
    </row>
    <row r="20">
      <c r="A20" s="4" t="inlineStr">
        <is>
          <t>Usage (share of drinking water from system)</t>
        </is>
      </c>
      <c r="B20" s="30" t="n">
        <v>0.7</v>
      </c>
      <c r="C20" s="15" t="inlineStr">
        <is>
          <t>No usage survey; sensors not yet deployed at scale here.</t>
        </is>
      </c>
    </row>
    <row r="21">
      <c r="A21" s="4" t="inlineStr">
        <is>
          <t>YLD per episode (DALYs)</t>
        </is>
      </c>
      <c r="B21" s="32" t="n">
        <v>0.002214794520547945</v>
      </c>
      <c r="C21" s="15" t="inlineStr">
        <is>
          <t>0.188 disability weight x 4.3 days / 365.</t>
        </is>
      </c>
    </row>
    <row r="22">
      <c r="A22" s="4" t="inlineStr">
        <is>
          <t>Under-five death rate (deaths/child-yr)</t>
        </is>
      </c>
      <c r="B22" s="33" t="n">
        <v>0.008999999999999999</v>
      </c>
      <c r="C22" s="15" t="inlineStr">
        <is>
          <t>Madagascar order of magnitude; GBD lookup pending.</t>
        </is>
      </c>
    </row>
    <row r="23">
      <c r="A23" s="4" t="inlineStr">
        <is>
          <t>Diarrheal share of under-five deaths (cross-check only)</t>
        </is>
      </c>
      <c r="B23" s="30" t="n">
        <v>0.09</v>
      </c>
      <c r="C23" s="15" t="inlineStr">
        <is>
          <t>NOT multiplied into the central estimate; see cross-check row on CEA Model.</t>
        </is>
      </c>
    </row>
    <row r="24">
      <c r="A24" s="4" t="inlineStr">
        <is>
          <t>All-cause under-five mortality reduction (central)</t>
        </is>
      </c>
      <c r="B24" s="31" t="n">
        <v>0.12</v>
      </c>
      <c r="C24" s="15" t="inlineStr">
        <is>
          <t>GiveWell-conservative water-treatment estimate; Kremer et al. 2023 meta-analysis ~25% runs as scenario S4.</t>
        </is>
      </c>
    </row>
    <row r="25">
      <c r="A25" s="4" t="inlineStr">
        <is>
          <t>YLL per under-five death averted</t>
        </is>
      </c>
      <c r="B25" s="23" t="n">
        <v>33</v>
      </c>
      <c r="C25" s="15" t="inlineStr">
        <is>
          <t>Standard life-table basis.</t>
        </is>
      </c>
    </row>
    <row r="27">
      <c r="A27" s="5" t="inlineStr">
        <is>
          <t>EVIDENCE ADJUSTMENT + INTEGRITY</t>
        </is>
      </c>
    </row>
    <row r="28">
      <c r="A28" s="4" t="inlineStr">
        <is>
          <t>Internal validity (IV)</t>
        </is>
      </c>
      <c r="B28" s="34" t="n">
        <v>0.7</v>
      </c>
      <c r="C28" s="15" t="inlineStr">
        <is>
          <t>Meta-anchored RRs; every exposure input is judgment.</t>
        </is>
      </c>
    </row>
    <row r="29">
      <c r="A29" s="4" t="inlineStr">
        <is>
          <t>External validity (EV)</t>
        </is>
      </c>
      <c r="B29" s="34" t="n">
        <v>0.7</v>
      </c>
      <c r="C29" s="15" t="inlineStr">
        <is>
          <t>Trial contexts to rural Madagascar piped schemes.</t>
        </is>
      </c>
    </row>
    <row r="30">
      <c r="A30" s="4" t="inlineStr">
        <is>
          <t>Publication bias (PB)</t>
        </is>
      </c>
      <c r="B30" s="34" t="n">
        <v>0.8</v>
      </c>
      <c r="C30" s="15" t="inlineStr">
        <is>
          <t>Systematic-review anchor.</t>
        </is>
      </c>
    </row>
    <row r="31">
      <c r="A31" s="4" t="inlineStr">
        <is>
          <t>Implementation quality (IQ)</t>
        </is>
      </c>
      <c r="B31" s="34" t="n">
        <v>0.7</v>
      </c>
      <c r="C31" s="15" t="inlineStr">
        <is>
          <t>Launched 2025; no issuance; first Article 6 pathway with no prior host-country authorization.</t>
        </is>
      </c>
    </row>
    <row r="32">
      <c r="A32" s="3" t="inlineStr">
        <is>
          <t>EAP composite</t>
        </is>
      </c>
      <c r="B32" s="35">
        <f>B28*B29*B30*B31</f>
        <v/>
      </c>
    </row>
    <row r="33">
      <c r="A33" s="4" t="inlineStr">
        <is>
          <t>Residual baseline-practice factor</t>
        </is>
      </c>
      <c r="B33" s="30" t="n">
        <v>0.6</v>
      </c>
      <c r="C33" s="15" t="inlineStr">
        <is>
          <t>HARD FLAG: yield predates the 2026 reconstruction; the lowest value in the portfolio.</t>
        </is>
      </c>
    </row>
    <row r="34">
      <c r="A34" s="4" t="inlineStr">
        <is>
          <t>Delivery effectiveness</t>
        </is>
      </c>
      <c r="B34" s="30" t="n">
        <v>0.85</v>
      </c>
      <c r="C34" s="15" t="inlineStr">
        <is>
          <t>Assumed pending sensor deployment; same cell feeds nothing else yet (no shared usage cell until the health chain's usage input is measured — both flagged).</t>
        </is>
      </c>
    </row>
    <row r="35">
      <c r="A35" s="4" t="inlineStr">
        <is>
          <t>Leakage / rebound</t>
        </is>
      </c>
      <c r="B35" s="31" t="n">
        <v>1</v>
      </c>
    </row>
    <row r="36">
      <c r="A36" s="3" t="inlineStr">
        <is>
          <t>Credit integrity ratio</t>
        </is>
      </c>
      <c r="B36" s="36">
        <f>B33*B34*B35</f>
        <v/>
      </c>
    </row>
    <row r="37">
      <c r="A37" s="4" t="inlineStr">
        <is>
          <t>GiveDirectly benchmark (units/$)</t>
        </is>
      </c>
      <c r="B37" s="32" t="n">
        <v>0.00335</v>
      </c>
    </row>
    <row r="38">
      <c r="A38" s="4" t="inlineStr">
        <is>
          <t>Social Cost of Carbon ($/tCO2)</t>
        </is>
      </c>
      <c r="B38" s="37" t="n">
        <v>185</v>
      </c>
    </row>
  </sheetData>
  <mergeCells count="4">
    <mergeCell ref="A14:K14"/>
    <mergeCell ref="A1:K1"/>
    <mergeCell ref="A9:K9"/>
    <mergeCell ref="A27:K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58" customWidth="1" min="7" max="7"/>
  </cols>
  <sheetData>
    <row r="1">
      <c r="A1" s="6" t="inlineStr">
        <is>
          <t>TOP-LINE RESULTS — GiveWell Default headline</t>
        </is>
      </c>
    </row>
    <row r="2">
      <c r="A2" s="9" t="inlineStr">
        <is>
          <t>Metric</t>
        </is>
      </c>
      <c r="B2" s="9" t="inlineStr">
        <is>
          <t>Raw</t>
        </is>
      </c>
      <c r="C2" s="9" t="inlineStr">
        <is>
          <t>Evidence-adjusted</t>
        </is>
      </c>
    </row>
    <row r="3">
      <c r="A3" s="3" t="inlineStr">
        <is>
          <t>$/DALY averted</t>
        </is>
      </c>
      <c r="B3" s="10" t="n">
        <v>571.6724484420192</v>
      </c>
      <c r="C3" s="10" t="n">
        <v>2083.354403943219</v>
      </c>
    </row>
    <row r="4">
      <c r="A4" s="3" t="inlineStr">
        <is>
          <t>$/DCY (per doubled-consumption-year)</t>
        </is>
      </c>
      <c r="B4" s="10" t="n">
        <v>248.5532384530518</v>
      </c>
      <c r="C4" s="10" t="n">
        <v>905.8062625840083</v>
      </c>
    </row>
    <row r="5">
      <c r="A5" s="3" t="inlineStr">
        <is>
          <t>xCash_MU (ranking metric)</t>
        </is>
      </c>
      <c r="B5" s="13" t="n">
        <v>1.722268542798235</v>
      </c>
      <c r="C5" s="14" t="inlineStr"/>
    </row>
    <row r="6">
      <c r="A6" s="15" t="inlineStr">
        <is>
          <t>$/DALY = $/DCY × 2.3 (units of value per DALY, GiveWell Default). $/DCY = $/unit of value = 298.51 ÷ xCash. CARBON-FINANCING COST BASIS — not full delivery cost, not GiveWell-comparable.</t>
        </is>
      </c>
    </row>
    <row r="8">
      <c r="A8" s="5" t="inlineStr">
        <is>
          <t>HEALTH CHAIN (financing basis)</t>
        </is>
      </c>
    </row>
    <row r="9">
      <c r="A9" s="3" t="inlineStr">
        <is>
          <t>Under-five person-years</t>
        </is>
      </c>
      <c r="B9" s="24">
        <f>Assumptions!B11*Assumptions!B15</f>
        <v/>
      </c>
    </row>
    <row r="10">
      <c r="A10" s="3" t="inlineStr">
        <is>
          <t>Diarrheal episodes at baseline</t>
        </is>
      </c>
      <c r="B10" s="24">
        <f>B9*Assumptions!B16+(Assumptions!B11-B9)*Assumptions!B17</f>
        <v/>
      </c>
    </row>
    <row r="11">
      <c r="A11" s="3" t="inlineStr">
        <is>
          <t>Episodes averted</t>
        </is>
      </c>
      <c r="B11" s="24">
        <f>B10*Assumptions!B18*Assumptions!B19*Assumptions!B20</f>
        <v/>
      </c>
    </row>
    <row r="12">
      <c r="A12" s="3" t="inlineStr">
        <is>
          <t>YLD DALYs averted</t>
        </is>
      </c>
      <c r="B12" s="24">
        <f>B11*Assumptions!B21</f>
        <v/>
      </c>
    </row>
    <row r="13">
      <c r="A13" s="3" t="inlineStr">
        <is>
          <t>Baseline under-five deaths in served population</t>
        </is>
      </c>
      <c r="B13" s="24">
        <f>B9*Assumptions!B22</f>
        <v/>
      </c>
    </row>
    <row r="14">
      <c r="A14" s="3" t="inlineStr">
        <is>
          <t>Deaths averted (all-cause 12% x effective coverage)</t>
        </is>
      </c>
      <c r="B14" s="38">
        <f>B13*Assumptions!B24*Assumptions!B19*Assumptions!B20</f>
        <v/>
      </c>
    </row>
    <row r="15">
      <c r="A15" s="4" t="inlineStr">
        <is>
          <t>Cross-check: diarrhea-attributable pathway alone</t>
        </is>
      </c>
      <c r="B15" s="38">
        <f>B13*Assumptions!B23*Assumptions!B18*Assumptions!B19*Assumptions!B20</f>
        <v/>
      </c>
      <c r="G15" s="15" t="inlineStr">
        <is>
          <t>The 12% all-cause estimate implies ~4.4x the diarrhea-attributable prediction — the Kremer-consistent pattern that water treatment averts more deaths than diarrhea accounting predicts. Flagged, not hidden.</t>
        </is>
      </c>
    </row>
    <row r="16">
      <c r="A16" s="3" t="inlineStr">
        <is>
          <t>YLL DALYs averted</t>
        </is>
      </c>
      <c r="B16" s="24">
        <f>B14*Assumptions!B25</f>
        <v/>
      </c>
    </row>
    <row r="17">
      <c r="A17" s="3" t="inlineStr">
        <is>
          <t>TOTAL DALYs averted (raw)</t>
        </is>
      </c>
      <c r="B17" s="24">
        <f>B12+B16</f>
        <v/>
      </c>
    </row>
    <row r="18">
      <c r="A18" s="3" t="inlineStr">
        <is>
          <t>$/DALY (financing basis, raw)</t>
        </is>
      </c>
      <c r="B18" s="28">
        <f>Assumptions!B10/B17</f>
        <v/>
      </c>
    </row>
    <row r="19">
      <c r="A19" s="3" t="inlineStr">
        <is>
          <t>DALYs (evidence-adjusted)</t>
        </is>
      </c>
      <c r="B19" s="24">
        <f>B17*Assumptions!B32</f>
        <v/>
      </c>
    </row>
    <row r="20">
      <c r="A20" s="3" t="inlineStr">
        <is>
          <t>$/DALY (financing basis, adjusted)</t>
        </is>
      </c>
      <c r="B20" s="28">
        <f>Assumptions!B10/B19</f>
        <v/>
      </c>
    </row>
    <row r="22">
      <c r="A22" s="5" t="inlineStr">
        <is>
          <t>xCASH (financing basis — NOT comparable to full-cost models)</t>
        </is>
      </c>
    </row>
    <row r="23">
      <c r="A23" s="3" t="inlineStr">
        <is>
          <t>xCash GiveWell (mort 117 / morb 2.3)</t>
        </is>
      </c>
      <c r="B23" s="39">
        <f>((B14*117+B12*2.3)/Assumptions!B10)/Assumptions!B37</f>
        <v/>
      </c>
    </row>
    <row r="24">
      <c r="A24" s="3" t="inlineStr">
        <is>
          <t>xCash Egalitarian (87 / 1.0)</t>
        </is>
      </c>
      <c r="B24" s="39">
        <f>((B14*87+B12*1.0)/Assumptions!B10)/Assumptions!B37</f>
        <v/>
      </c>
    </row>
    <row r="25">
      <c r="A25" s="3" t="inlineStr">
        <is>
          <t>xCash WELLBY (120 / 3.6)</t>
        </is>
      </c>
      <c r="B25" s="39">
        <f>((B14*120+B12*3.6)/Assumptions!B10)/Assumptions!B37</f>
        <v/>
      </c>
    </row>
    <row r="26">
      <c r="A26" s="3" t="inlineStr">
        <is>
          <t>xCash_MU (0.45/0.25/0.30)</t>
        </is>
      </c>
      <c r="B26" s="39">
        <f>0.45*B23+0.25*B24+0.30*B25</f>
        <v/>
      </c>
    </row>
    <row r="28">
      <c r="A28" s="5" t="inlineStr">
        <is>
          <t>CLIMATE + INTEGRITY</t>
        </is>
      </c>
    </row>
    <row r="29">
      <c r="A29" s="3" t="inlineStr">
        <is>
          <t>$/tCO2e (credited)</t>
        </is>
      </c>
      <c r="B29" s="28">
        <f>Assumptions!B10/Assumptions!K3</f>
        <v/>
      </c>
    </row>
    <row r="30">
      <c r="A30" s="3" t="inlineStr">
        <is>
          <t>vs SCC (credited)</t>
        </is>
      </c>
      <c r="B30" s="39">
        <f>Assumptions!B38/B29</f>
        <v/>
      </c>
    </row>
    <row r="31">
      <c r="A31" s="3" t="inlineStr">
        <is>
          <t>$/tCO2e (integrity-adjusted)</t>
        </is>
      </c>
      <c r="B31" s="28">
        <f>Assumptions!B10/(Assumptions!K3*Assumptions!B36)</f>
        <v/>
      </c>
    </row>
    <row r="32">
      <c r="A32" s="3" t="inlineStr">
        <is>
          <t>vs SCC (integrity-adjusted)</t>
        </is>
      </c>
      <c r="B32" s="39">
        <f>Assumptions!B38/B31</f>
        <v/>
      </c>
    </row>
    <row r="34">
      <c r="A34" s="5" t="inlineStr">
        <is>
          <t>ONE-WAY SCENARIOS (preliminary — no Monte Carlo)</t>
        </is>
      </c>
    </row>
    <row r="35">
      <c r="A35" s="40" t="inlineStr">
        <is>
          <t>Scenario</t>
        </is>
      </c>
      <c r="B35" s="40" t="inlineStr">
        <is>
          <t>Varied input</t>
        </is>
      </c>
      <c r="C35" s="22" t="inlineStr">
        <is>
          <t>Cost ($)</t>
        </is>
      </c>
      <c r="D35" s="9" t="inlineStr">
        <is>
          <t>DALYs</t>
        </is>
      </c>
      <c r="E35" s="41" t="inlineStr">
        <is>
          <t>$/DALY</t>
        </is>
      </c>
      <c r="F35" s="42" t="inlineStr">
        <is>
          <t>xCash GW</t>
        </is>
      </c>
      <c r="G35" s="40" t="inlineStr">
        <is>
          <t>Reading</t>
        </is>
      </c>
    </row>
    <row r="36">
      <c r="A36" s="4" t="inlineStr">
        <is>
          <t>S1 first issuance slips to 2028</t>
        </is>
      </c>
      <c r="B36" s="43" t="inlineStr">
        <is>
          <t>ramp -1 yr</t>
        </is>
      </c>
      <c r="C36" s="26" t="n">
        <v>2173128</v>
      </c>
      <c r="D36" s="26" t="n">
        <v>3733</v>
      </c>
      <c r="E36" s="28">
        <f>C36/D36</f>
        <v/>
      </c>
      <c r="F36" s="44" t="n">
        <v>1.787346137800092</v>
      </c>
      <c r="G36" s="4" t="inlineStr">
        <is>
          <t>structure robust; window truncation, not economics</t>
        </is>
      </c>
    </row>
    <row r="37">
      <c r="A37" s="4" t="inlineStr">
        <is>
          <t>S2 contracted offtake only (51,000 cr)</t>
        </is>
      </c>
      <c r="B37" s="43" t="inlineStr">
        <is>
          <t>2028-30 only</t>
        </is>
      </c>
      <c r="C37" s="26" t="n">
        <v>632110</v>
      </c>
      <c r="D37" s="26" t="n">
        <v>920</v>
      </c>
      <c r="E37" s="28">
        <f>C37/D37</f>
        <v/>
      </c>
      <c r="F37" s="44" t="n">
        <v>1.513870183360115</v>
      </c>
      <c r="G37" s="4" t="inlineStr">
        <is>
          <t>downside book; $/t 12.39</t>
        </is>
      </c>
    </row>
    <row r="38">
      <c r="A38" s="4" t="inlineStr">
        <is>
          <t>S3a integrity 0.40</t>
        </is>
      </c>
      <c r="B38" s="43" t="inlineStr">
        <is>
          <t>0.40</t>
        </is>
      </c>
      <c r="C38" s="26" t="n">
        <v>2753163</v>
      </c>
      <c r="D38" s="26" t="n">
        <v>4816</v>
      </c>
      <c r="E38" s="28">
        <f>C38/D38</f>
        <v/>
      </c>
      <c r="F38" s="44" t="n">
        <v>1.820049539643674</v>
      </c>
      <c r="G38" s="4" t="inlineStr">
        <is>
          <t>$/t real 25.77 = 7.2x SCC</t>
        </is>
      </c>
    </row>
    <row r="39">
      <c r="A39" s="4" t="inlineStr">
        <is>
          <t>S3b integrity 0.80</t>
        </is>
      </c>
      <c r="B39" s="43" t="inlineStr">
        <is>
          <t>0.80</t>
        </is>
      </c>
      <c r="C39" s="26" t="n">
        <v>2753163</v>
      </c>
      <c r="D39" s="26" t="n">
        <v>4816</v>
      </c>
      <c r="E39" s="28">
        <f>C39/D39</f>
        <v/>
      </c>
      <c r="F39" s="44" t="n">
        <v>1.820049539643674</v>
      </c>
      <c r="G39" s="4" t="inlineStr">
        <is>
          <t>$/t real 12.89 = 14.4x SCC</t>
        </is>
      </c>
    </row>
    <row r="40">
      <c r="A40" s="4" t="inlineStr">
        <is>
          <t>S4 Kremer 25%% all-cause mortality</t>
        </is>
      </c>
      <c r="B40" s="43" t="inlineStr">
        <is>
          <t>0.25</t>
        </is>
      </c>
      <c r="C40" s="26" t="n">
        <v>2753163</v>
      </c>
      <c r="D40" s="26" t="n">
        <v>9782</v>
      </c>
      <c r="E40" s="28">
        <f>C40/D40</f>
        <v/>
      </c>
      <c r="F40" s="44" t="n">
        <v>3.729223919722937</v>
      </c>
      <c r="G40" s="4" t="inlineStr">
        <is>
          <t>meta-analytic upper anchor; xCash_MU 3.52x</t>
        </is>
      </c>
    </row>
    <row r="41">
      <c r="A41" s="15" t="inlineStr">
        <is>
          <t>Scenario cost/DALY cells are recomputed purchase schedules (blue inputs) with the division as formula; S1/S2 change the credit book so a single-cell formula chain cannot express them.</t>
        </is>
      </c>
    </row>
  </sheetData>
  <mergeCells count="5">
    <mergeCell ref="A1:C1"/>
    <mergeCell ref="A8:G8"/>
    <mergeCell ref="A22:G22"/>
    <mergeCell ref="A34:G34"/>
    <mergeCell ref="A28:G2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68" customWidth="1" min="3" max="3"/>
  </cols>
  <sheetData>
    <row r="1">
      <c r="A1" s="22" t="inlineStr">
        <is>
          <t>Critique Dimension</t>
        </is>
      </c>
      <c r="B1" s="22" t="inlineStr">
        <is>
          <t>Rating</t>
        </is>
      </c>
      <c r="C1" s="22" t="inlineStr">
        <is>
          <t>Assessment</t>
        </is>
      </c>
    </row>
    <row r="2" ht="80" customHeight="1">
      <c r="A2" s="3" t="inlineStr">
        <is>
          <t>1. Effect size quality</t>
        </is>
      </c>
      <c r="B2" s="45" t="inlineStr">
        <is>
          <t>WEAK</t>
        </is>
      </c>
      <c r="C2" s="46" t="inlineStr">
        <is>
          <t>EAP 0.274 — the lowest sensible score in the portfolio. Every exposure input (U5 share, incidence, enrollment, usage, death rate) is judgment pending GBD/DHS lookups; the RR anchors are meta-analytic but nothing program-specific exists yet. Preliminary is the only defensible status.</t>
        </is>
      </c>
    </row>
    <row r="3" ht="80" customHeight="1">
      <c r="A3" s="3" t="inlineStr">
        <is>
          <t>2. Counterfactual robustness</t>
        </is>
      </c>
      <c r="B3" s="45" t="inlineStr">
        <is>
          <t>WEAK</t>
        </is>
      </c>
      <c r="C3" s="46" t="inlineStr">
        <is>
          <t>Unmodeled in v1. RANO WASH has USAID lineage and other WASH funders operate in Madagascar; P(funging) needs a named-funder pass. Carbon-side: no issuance yet, so additionality is currently an assumption about the future, not a record.</t>
        </is>
      </c>
    </row>
    <row r="4" ht="80" customHeight="1">
      <c r="A4" s="3" t="inlineStr">
        <is>
          <t>3. Moral weight transparency</t>
        </is>
      </c>
      <c r="B4" s="47" t="inlineStr">
        <is>
          <t>MODERATE</t>
        </is>
      </c>
      <c r="C4" s="46" t="inlineStr">
        <is>
          <t>All frameworks reported; mortality dominates (95% of DALYs), so the under-five weighting drives everything — the neonatal/under-five divergence should be revisited when burden data arrives.</t>
        </is>
      </c>
    </row>
    <row r="5" ht="80" customHeight="1">
      <c r="A5" s="3" t="inlineStr">
        <is>
          <t>4. Attribution and integrity</t>
        </is>
      </c>
      <c r="B5" s="45" t="inlineStr">
        <is>
          <t>FLAG</t>
        </is>
      </c>
      <c r="C5" s="46" t="inlineStr">
        <is>
          <t>Cost basis is Virridy's financing only, so $/DALY is NOT the program's cost-effectiveness and must never be quoted against GiveWell figures. Integrity 0.51 is the portfolio's lowest: the 0.21 yield predates the 2026 reconstruction. Both facts are stated on the Cover, not buried.</t>
        </is>
      </c>
    </row>
    <row r="6" ht="80" customHeight="1">
      <c r="A6" s="3" t="inlineStr">
        <is>
          <t>5. Excluded factors</t>
        </is>
      </c>
      <c r="B6" s="45" t="inlineStr">
        <is>
          <t>FLAG</t>
        </is>
      </c>
      <c r="C6" s="46" t="inlineStr">
        <is>
          <t>Excluded: partner delivery capex (the reason the basis is labeled), time savings from proximity (likely material for piped schemes), water-quantity and hygiene effects, post-2033 operation. Net direction: cost understated by construction (labeled), benefits conservatively bounded.</t>
        </is>
      </c>
    </row>
    <row r="7" ht="80" customHeight="1">
      <c r="A7" s="3" t="inlineStr">
        <is>
          <t>6. Ranking stability</t>
        </is>
      </c>
      <c r="B7" s="47" t="inlineStr">
        <is>
          <t>MODERATE</t>
        </is>
      </c>
      <c r="C7" s="46" t="inlineStr">
        <is>
          <t>Climate finding robust across the integrity band (7.1-14.3x SCC). Health figures move ~2.4x across scenarios (S4 vs S2). Reversal condition for the climate case: integrity below 0.056 — implausible even under full reconstruction. The binding risk is issuance slippage, not economics.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2026-08-07T22:13:46Z</dcterms:created>
  <dcterms:modified xmlns:dcterms="http://purl.org/dc/terms/" xmlns:xsi="http://www.w3.org/2001/XMLSchema-instance" xsi:type="dcterms:W3CDTF">2026-08-07T22:13:46Z</dcterms:modified>
</cp:coreProperties>
</file>