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CEA Model" sheetId="3" state="visible" r:id="rId3"/>
    <sheet xmlns:r="http://schemas.openxmlformats.org/officeDocument/2006/relationships" name="Critiqu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$#,##0"/>
    <numFmt numFmtId="165" formatCode="0.0x"/>
    <numFmt numFmtId="166" formatCode="0.0%"/>
    <numFmt numFmtId="167" formatCode="$#,##0.000"/>
    <numFmt numFmtId="168" formatCode="0.0000"/>
    <numFmt numFmtId="169" formatCode="0.00000"/>
    <numFmt numFmtId="170" formatCode="0.000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name val="Arial"/>
      <b val="1"/>
      <color rgb="00000000"/>
      <sz val="10"/>
    </font>
    <font>
      <name val="Arial"/>
      <color rgb="00000000"/>
      <sz val="10"/>
    </font>
    <font>
      <name val="Arial"/>
      <color rgb="000000FF"/>
      <sz val="10"/>
    </font>
    <font>
      <name val="Arial"/>
      <color rgb="00008000"/>
      <sz val="10"/>
    </font>
    <font>
      <name val="Arial"/>
      <b val="1"/>
      <color rgb="00FFFFFF"/>
      <sz val="10"/>
    </font>
    <font>
      <name val="Arial"/>
      <i val="1"/>
      <color rgb="00666666"/>
      <sz val="9"/>
    </font>
  </fonts>
  <fills count="12">
    <fill>
      <patternFill/>
    </fill>
    <fill>
      <patternFill patternType="gray125"/>
    </fill>
    <fill>
      <patternFill patternType="solid">
        <fgColor rgb="001A7A6E"/>
      </patternFill>
    </fill>
    <fill>
      <patternFill patternType="solid">
        <fgColor rgb="001F4E79"/>
      </patternFill>
    </fill>
    <fill>
      <patternFill patternType="solid">
        <fgColor rgb="00D9D9D9"/>
      </patternFill>
    </fill>
    <fill>
      <patternFill patternType="solid">
        <fgColor rgb="00FFFF00"/>
      </patternFill>
    </fill>
    <fill>
      <patternFill patternType="solid">
        <fgColor rgb="00E8D5F5"/>
      </patternFill>
    </fill>
    <fill>
      <patternFill patternType="solid">
        <fgColor rgb="007B2D8B"/>
      </patternFill>
    </fill>
    <fill>
      <patternFill patternType="solid">
        <fgColor rgb="00B8860B"/>
      </patternFill>
    </fill>
    <fill>
      <patternFill patternType="solid">
        <fgColor rgb="00FDECEA"/>
      </patternFill>
    </fill>
    <fill>
      <patternFill patternType="solid">
        <fgColor rgb="00FAEEDA"/>
      </patternFill>
    </fill>
    <fill>
      <patternFill patternType="solid">
        <fgColor rgb="00D0EEEA"/>
      </patternFill>
    </fill>
  </fills>
  <borders count="6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/>
      <right/>
      <top style="thin">
        <color rgb="00BBBBBB"/>
      </top>
      <bottom/>
      <diagonal/>
    </border>
    <border>
      <left/>
      <right style="thin">
        <color rgb="00BBBBBB"/>
      </right>
      <top style="thin">
        <color rgb="00BBBBBB"/>
      </top>
      <bottom/>
      <diagonal/>
    </border>
    <border>
      <left/>
      <right/>
      <top style="thin">
        <color rgb="00BBBBBB"/>
      </top>
      <bottom style="thin">
        <color rgb="00BBBBBB"/>
      </bottom>
      <diagonal/>
    </border>
    <border>
      <left/>
      <right style="thin">
        <color rgb="00BBBBBB"/>
      </right>
      <top style="thin">
        <color rgb="00BBBBBB"/>
      </top>
      <bottom style="thin">
        <color rgb="00BBBBBB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165" fontId="3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8" fillId="0" borderId="0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left" vertical="center" wrapText="1"/>
    </xf>
    <xf numFmtId="164" fontId="3" fillId="0" borderId="1" pivotButton="0" quotePrefix="0" xfId="0"/>
    <xf numFmtId="165" fontId="3" fillId="0" borderId="1" pivotButton="0" quotePrefix="0" xfId="0"/>
    <xf numFmtId="166" fontId="3" fillId="0" borderId="1" pivotButton="0" quotePrefix="0" xfId="0"/>
    <xf numFmtId="0" fontId="7" fillId="2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4" fontId="4" fillId="0" borderId="1" applyAlignment="1" pivotButton="0" quotePrefix="0" xfId="0">
      <alignment horizontal="right" vertical="center"/>
    </xf>
    <xf numFmtId="167" fontId="4" fillId="0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right" vertical="center"/>
    </xf>
    <xf numFmtId="168" fontId="5" fillId="5" borderId="1" applyAlignment="1" pivotButton="0" quotePrefix="0" xfId="0">
      <alignment horizontal="right" vertical="center"/>
    </xf>
    <xf numFmtId="3" fontId="5" fillId="5" borderId="1" applyAlignment="1" pivotButton="0" quotePrefix="0" xfId="0">
      <alignment horizontal="right" vertical="center"/>
    </xf>
    <xf numFmtId="2" fontId="5" fillId="5" borderId="1" applyAlignment="1" pivotButton="0" quotePrefix="0" xfId="0">
      <alignment horizontal="right" vertical="center"/>
    </xf>
    <xf numFmtId="166" fontId="5" fillId="6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69" fontId="4" fillId="0" borderId="1" applyAlignment="1" pivotButton="0" quotePrefix="0" xfId="0">
      <alignment horizontal="right" vertical="center"/>
    </xf>
    <xf numFmtId="2" fontId="5" fillId="0" borderId="1" applyAlignment="1" pivotButton="0" quotePrefix="0" xfId="0">
      <alignment horizontal="right" vertical="center"/>
    </xf>
    <xf numFmtId="170" fontId="4" fillId="0" borderId="1" applyAlignment="1" pivotButton="0" quotePrefix="0" xfId="0">
      <alignment horizontal="right" vertical="center"/>
    </xf>
    <xf numFmtId="169" fontId="5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0" fontId="7" fillId="4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right" vertical="center"/>
    </xf>
    <xf numFmtId="0" fontId="3" fillId="9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34" customWidth="1" min="1" max="1"/>
    <col width="58" customWidth="1" min="2" max="2"/>
  </cols>
  <sheetData>
    <row r="1" ht="32" customHeight="1">
      <c r="A1" s="1" t="inlineStr">
        <is>
          <t>COST-EFFECTIVENESS ANALYSIS</t>
        </is>
      </c>
    </row>
    <row r="2" ht="22" customHeight="1">
      <c r="A2" s="2" t="inlineStr">
        <is>
          <t>AMAZI WATER BURUNDI — PRELIMINARY: insufficient evidence for probabilistic analysis</t>
        </is>
      </c>
    </row>
    <row r="4">
      <c r="A4" s="3" t="inlineStr">
        <is>
          <t>Intervention</t>
        </is>
      </c>
      <c r="B4" s="4" t="inlineStr">
        <is>
          <t>Solar boreholes -&gt; piped community taps with chlorination, carbon-financed</t>
        </is>
      </c>
    </row>
    <row r="5">
      <c r="A5" s="3" t="inlineStr">
        <is>
          <t>Pathway</t>
        </is>
      </c>
      <c r="B5" s="4" t="inlineStr">
        <is>
          <t>Carbon-financed safe water (Gate A: YES — $15/credit contracted floor)</t>
        </is>
      </c>
    </row>
    <row r="6">
      <c r="A6" s="3" t="inlineStr">
        <is>
          <t>Geography</t>
        </is>
      </c>
      <c r="B6" s="4" t="inlineStr">
        <is>
          <t>Burundi — 639 systems / 3.99M people by 2033 (proforma base)</t>
        </is>
      </c>
    </row>
    <row r="7">
      <c r="A7" s="3" t="inlineStr">
        <is>
          <t>Program window</t>
        </is>
      </c>
      <c r="B7" s="4" t="inlineStr">
        <is>
          <t>2025-2033 (GS registration Q1 2027; crediting 2 yrs after install)</t>
        </is>
      </c>
    </row>
    <row r="8">
      <c r="A8" s="3" t="inlineStr">
        <is>
          <t>Analyst / Date</t>
        </is>
      </c>
      <c r="B8" s="4" t="inlineStr">
        <is>
          <t>Virridy Carbon CEA Toolbox (Claude) — 2026-08-07</t>
        </is>
      </c>
    </row>
    <row r="9">
      <c r="A9" s="3" t="inlineStr">
        <is>
          <t>Version</t>
        </is>
      </c>
      <c r="B9" s="4" t="inlineStr">
        <is>
          <t>v1 PRELIMINARY — community pathway incl. under-five mortality</t>
        </is>
      </c>
    </row>
    <row r="10">
      <c r="A10" s="3" t="inlineStr">
        <is>
          <t>Data basis</t>
        </is>
      </c>
      <c r="B10" s="4" t="inlineStr">
        <is>
          <t>Virridy carbon proforma base scenario (extract 2026-08-07)</t>
        </is>
      </c>
    </row>
    <row r="13">
      <c r="A13" s="5" t="inlineStr">
        <is>
          <t>COLOR KEY</t>
        </is>
      </c>
    </row>
    <row r="14">
      <c r="A14" s="6" t="inlineStr">
        <is>
          <t>TOP-LINE RESULTS — GiveWell Default headline</t>
        </is>
      </c>
      <c r="B14" s="7" t="n"/>
      <c r="C14" s="8" t="n"/>
    </row>
    <row r="15">
      <c r="A15" s="9" t="inlineStr">
        <is>
          <t>Metric</t>
        </is>
      </c>
      <c r="B15" s="9" t="inlineStr">
        <is>
          <t>Raw</t>
        </is>
      </c>
      <c r="C15" s="9" t="inlineStr">
        <is>
          <t>Evidence-adjusted</t>
        </is>
      </c>
    </row>
    <row r="16">
      <c r="A16" s="3" t="inlineStr">
        <is>
          <t>$/DALY averted</t>
        </is>
      </c>
      <c r="B16" s="10" t="n">
        <v>5307.139330185404</v>
      </c>
      <c r="C16" s="10" t="n">
        <v>13874.87406584419</v>
      </c>
    </row>
    <row r="17">
      <c r="A17" s="11" t="inlineStr">
        <is>
          <t>$/DCY (per doubled-consumption-year)</t>
        </is>
      </c>
      <c r="B17" s="10" t="n">
        <v>2307.451882689306</v>
      </c>
      <c r="C17" s="10" t="n">
        <v>6032.553941671389</v>
      </c>
    </row>
    <row r="18">
      <c r="A18" s="12" t="inlineStr">
        <is>
          <t>xCash_MU (ranking metric)</t>
        </is>
      </c>
      <c r="B18" s="13" t="n">
        <v>0.1330227275621702</v>
      </c>
      <c r="C18" s="14" t="inlineStr"/>
    </row>
    <row r="19">
      <c r="A19" s="15" t="inlineStr">
        <is>
          <t>$/DALY = $/DCY × 2.3 (units of value per DALY, GiveWell Default). $/DCY = $/unit of value = 298.51 ÷ xCash. FULL-DELIVERY-COST basis incl. all system capex. Carbon revenue at the $15 floor covers 54% of full cost; the remainder is donor-funded ($4M/yr donor line in the program plan). Net donor cost per DALY = $2450.</t>
        </is>
      </c>
    </row>
    <row r="21">
      <c r="A21" s="16" t="inlineStr">
        <is>
          <t>CARBON METRICS (Metrics 2-4)</t>
        </is>
      </c>
    </row>
    <row r="22">
      <c r="A22" s="3" t="inlineStr">
        <is>
          <t>$/tCO2e (full cost / credits, as credited)</t>
        </is>
      </c>
      <c r="B22" s="17" t="n">
        <v>27.86575260351373</v>
      </c>
    </row>
    <row r="23">
      <c r="A23" s="3" t="inlineStr">
        <is>
          <t xml:space="preserve">  vs SCC $185 (credited basis)</t>
        </is>
      </c>
      <c r="B23" s="18" t="n">
        <v>6.63897374789269</v>
      </c>
    </row>
    <row r="24">
      <c r="A24" s="3" t="inlineStr">
        <is>
          <t>$/tCO2e integrity-adjusted (real tonnes)</t>
        </is>
      </c>
      <c r="B24" s="17" t="n">
        <v>44.23135333891068</v>
      </c>
    </row>
    <row r="25">
      <c r="A25" s="3" t="inlineStr">
        <is>
          <t xml:space="preserve">  vs SCC $185 (integrity basis)</t>
        </is>
      </c>
      <c r="B25" s="18" t="n">
        <v>4.182553461172394</v>
      </c>
    </row>
    <row r="26">
      <c r="A26" s="3" t="inlineStr">
        <is>
          <t>Credit integrity ratio (real/credited)</t>
        </is>
      </c>
      <c r="B26" s="19" t="n">
        <v>0.63</v>
      </c>
    </row>
    <row r="27">
      <c r="A27" s="3" t="inlineStr">
        <is>
          <t>Carbon revenue / full cost, 2025-33 ($15 floor)</t>
        </is>
      </c>
      <c r="B27" s="19" t="n">
        <v>0.5382951687480559</v>
      </c>
    </row>
    <row r="28">
      <c r="A28" s="3" t="inlineStr">
        <is>
          <t>Net philanthropic cost 2025-33</t>
        </is>
      </c>
      <c r="B28" s="17" t="n">
        <v>24667944.90230539</v>
      </c>
    </row>
    <row r="29">
      <c r="A29" s="3" t="inlineStr">
        <is>
          <t>Net donor $ per DALY averted</t>
        </is>
      </c>
      <c r="B29" s="17" t="n">
        <v>2450.331868873808</v>
      </c>
    </row>
    <row r="30">
      <c r="A30" s="15" t="inlineStr">
        <is>
          <t>Unlike the Rwanda school program, Burundi's full cost basis includes ALL system capex, and carbon covers ~54% of it at the floor price; donor capital funds the rest. Program plan projects carbon self-sustaining from 2035 (outside this window).</t>
        </is>
      </c>
    </row>
  </sheetData>
  <mergeCells count="5">
    <mergeCell ref="A21:B21"/>
    <mergeCell ref="A2:B2"/>
    <mergeCell ref="A14:C14"/>
    <mergeCell ref="A13:B13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selection activeCell="A1" sqref="A1"/>
    </sheetView>
  </sheetViews>
  <sheetFormatPr baseColWidth="8" defaultRowHeight="15"/>
  <cols>
    <col width="44" customWidth="1" min="1" max="1"/>
    <col width="15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6" customWidth="1" min="11" max="11"/>
  </cols>
  <sheetData>
    <row r="1">
      <c r="A1" s="5" t="inlineStr">
        <is>
          <t>PROFORMA SERIES 2025-2033 (Virridy carbon proforma, base scenario — extract 2026-08-07)</t>
        </is>
      </c>
    </row>
    <row r="2">
      <c r="A2" s="20" t="inlineStr">
        <is>
          <t>Series</t>
        </is>
      </c>
      <c r="B2" s="9" t="n">
        <v>2025</v>
      </c>
      <c r="C2" s="9" t="n">
        <v>2026</v>
      </c>
      <c r="D2" s="9" t="n">
        <v>2027</v>
      </c>
      <c r="E2" s="9" t="n">
        <v>2028</v>
      </c>
      <c r="F2" s="9" t="n">
        <v>2029</v>
      </c>
      <c r="G2" s="9" t="n">
        <v>2030</v>
      </c>
      <c r="H2" s="9" t="n">
        <v>2031</v>
      </c>
      <c r="I2" s="9" t="n">
        <v>2032</v>
      </c>
      <c r="J2" s="9" t="n">
        <v>2033</v>
      </c>
      <c r="K2" s="20" t="inlineStr">
        <is>
          <t>Total</t>
        </is>
      </c>
    </row>
    <row r="3">
      <c r="A3" s="4" t="inlineStr">
        <is>
          <t>Systems operating (EOY)</t>
        </is>
      </c>
      <c r="B3" s="21" t="n">
        <v>44</v>
      </c>
      <c r="C3" s="21" t="n">
        <v>99</v>
      </c>
      <c r="D3" s="21" t="n">
        <v>157</v>
      </c>
      <c r="E3" s="21" t="n">
        <v>224</v>
      </c>
      <c r="F3" s="21" t="n">
        <v>297</v>
      </c>
      <c r="G3" s="21" t="n">
        <v>374</v>
      </c>
      <c r="H3" s="21" t="n">
        <v>460</v>
      </c>
      <c r="I3" s="21" t="n">
        <v>548</v>
      </c>
      <c r="J3" s="21" t="n">
        <v>639</v>
      </c>
      <c r="K3" s="22" t="n"/>
    </row>
    <row r="4">
      <c r="A4" s="4" t="inlineStr">
        <is>
          <t>New systems installed</t>
        </is>
      </c>
      <c r="B4" s="22">
        <f>B3</f>
        <v/>
      </c>
      <c r="C4" s="22">
        <f>C3-B3</f>
        <v/>
      </c>
      <c r="D4" s="22">
        <f>D3-C3</f>
        <v/>
      </c>
      <c r="E4" s="22">
        <f>E3-D3</f>
        <v/>
      </c>
      <c r="F4" s="22">
        <f>F3-E3</f>
        <v/>
      </c>
      <c r="G4" s="22">
        <f>G3-F3</f>
        <v/>
      </c>
      <c r="H4" s="22">
        <f>H3-G3</f>
        <v/>
      </c>
      <c r="I4" s="22">
        <f>I3-H3</f>
        <v/>
      </c>
      <c r="J4" s="22">
        <f>J3-I3</f>
        <v/>
      </c>
      <c r="K4" s="22">
        <f>SUM(B4:J4)</f>
        <v/>
      </c>
    </row>
    <row r="5">
      <c r="A5" s="4" t="inlineStr">
        <is>
          <t>People served</t>
        </is>
      </c>
      <c r="B5" s="21" t="n">
        <v>274695</v>
      </c>
      <c r="C5" s="21" t="n">
        <v>618057</v>
      </c>
      <c r="D5" s="21" t="n">
        <v>980163</v>
      </c>
      <c r="E5" s="21" t="n">
        <v>1398432</v>
      </c>
      <c r="F5" s="21" t="n">
        <v>1854193</v>
      </c>
      <c r="G5" s="21" t="n">
        <v>2334909</v>
      </c>
      <c r="H5" s="21" t="n">
        <v>2871814</v>
      </c>
      <c r="I5" s="21" t="n">
        <v>3421204</v>
      </c>
      <c r="J5" s="21" t="n">
        <v>3989325</v>
      </c>
      <c r="K5" s="22">
        <f>SUM(B5:J5)</f>
        <v/>
      </c>
    </row>
    <row r="6">
      <c r="A6" s="4" t="inlineStr">
        <is>
          <t>Net credits projected (tCO2e)</t>
        </is>
      </c>
      <c r="B6" s="21" t="n">
        <v>0</v>
      </c>
      <c r="C6" s="21" t="n">
        <v>0</v>
      </c>
      <c r="D6" s="21" t="n">
        <v>40011</v>
      </c>
      <c r="E6" s="21" t="n">
        <v>135586</v>
      </c>
      <c r="F6" s="21" t="n">
        <v>206852</v>
      </c>
      <c r="G6" s="21" t="n">
        <v>262566</v>
      </c>
      <c r="H6" s="21" t="n">
        <v>361946</v>
      </c>
      <c r="I6" s="21" t="n">
        <v>419468</v>
      </c>
      <c r="J6" s="21" t="n">
        <v>490905</v>
      </c>
      <c r="K6" s="22">
        <f>SUM(B6:J6)</f>
        <v/>
      </c>
    </row>
    <row r="8">
      <c r="A8" s="5" t="inlineStr">
        <is>
          <t>COST INPUTS (program contract terms)</t>
        </is>
      </c>
    </row>
    <row r="9">
      <c r="A9" s="4" t="inlineStr">
        <is>
          <t>System cost, full recovery ($/new system)</t>
        </is>
      </c>
      <c r="B9" s="23" t="n">
        <v>68000</v>
      </c>
    </row>
    <row r="10">
      <c r="A10" s="4" t="inlineStr">
        <is>
          <t>Cost inflation (/yr)</t>
        </is>
      </c>
      <c r="B10" s="24" t="n">
        <v>0.03</v>
      </c>
    </row>
    <row r="11">
      <c r="A11" s="4" t="inlineStr">
        <is>
          <t>Chlorine ($/system/yr = $80/mo)</t>
        </is>
      </c>
      <c r="B11" s="23" t="n">
        <v>960</v>
      </c>
    </row>
    <row r="12">
      <c r="A12" s="4" t="inlineStr">
        <is>
          <t>Monitoring ($/new system, 18 mo x $80; 720+720 split)</t>
        </is>
      </c>
      <c r="B12" s="23" t="n">
        <v>1440</v>
      </c>
    </row>
    <row r="13">
      <c r="A13" s="4" t="inlineStr">
        <is>
          <t>Carbon floor price ($/credit, contracted)</t>
        </is>
      </c>
      <c r="B13" s="23" t="n">
        <v>15</v>
      </c>
    </row>
    <row r="15">
      <c r="A15" s="5" t="inlineStr">
        <is>
          <t>COST SERIES + SINGLE DENOMINATOR (ratified rule R2)</t>
        </is>
      </c>
    </row>
    <row r="16">
      <c r="A16" s="4" t="inlineStr">
        <is>
          <t>System capex ($)</t>
        </is>
      </c>
      <c r="B16" s="22">
        <f>B4*$B$9*(1+$B$10)^0</f>
        <v/>
      </c>
      <c r="C16" s="22">
        <f>C4*$B$9*(1+$B$10)^1</f>
        <v/>
      </c>
      <c r="D16" s="22">
        <f>D4*$B$9*(1+$B$10)^2</f>
        <v/>
      </c>
      <c r="E16" s="22">
        <f>E4*$B$9*(1+$B$10)^3</f>
        <v/>
      </c>
      <c r="F16" s="22">
        <f>F4*$B$9*(1+$B$10)^4</f>
        <v/>
      </c>
      <c r="G16" s="22">
        <f>G4*$B$9*(1+$B$10)^5</f>
        <v/>
      </c>
      <c r="H16" s="22">
        <f>H4*$B$9*(1+$B$10)^6</f>
        <v/>
      </c>
      <c r="I16" s="22">
        <f>I4*$B$9*(1+$B$10)^7</f>
        <v/>
      </c>
      <c r="J16" s="22">
        <f>J4*$B$9*(1+$B$10)^8</f>
        <v/>
      </c>
      <c r="K16" s="22">
        <f>SUM(B16:J16)</f>
        <v/>
      </c>
    </row>
    <row r="17">
      <c r="A17" s="4" t="inlineStr">
        <is>
          <t>Chlorine ($)</t>
        </is>
      </c>
      <c r="B17" s="22">
        <f>B3*$B$11</f>
        <v/>
      </c>
      <c r="C17" s="22">
        <f>C3*$B$11</f>
        <v/>
      </c>
      <c r="D17" s="22">
        <f>D3*$B$11</f>
        <v/>
      </c>
      <c r="E17" s="22">
        <f>E3*$B$11</f>
        <v/>
      </c>
      <c r="F17" s="22">
        <f>F3*$B$11</f>
        <v/>
      </c>
      <c r="G17" s="22">
        <f>G3*$B$11</f>
        <v/>
      </c>
      <c r="H17" s="22">
        <f>H3*$B$11</f>
        <v/>
      </c>
      <c r="I17" s="22">
        <f>I3*$B$11</f>
        <v/>
      </c>
      <c r="J17" s="22">
        <f>J3*$B$11</f>
        <v/>
      </c>
      <c r="K17" s="22">
        <f>SUM(B17:J17)</f>
        <v/>
      </c>
    </row>
    <row r="18">
      <c r="A18" s="4" t="inlineStr">
        <is>
          <t>Monitoring ($)</t>
        </is>
      </c>
      <c r="B18" s="22">
        <f>720*B4</f>
        <v/>
      </c>
      <c r="C18" s="22">
        <f>720*C4+720*B4</f>
        <v/>
      </c>
      <c r="D18" s="22">
        <f>720*D4+720*C4</f>
        <v/>
      </c>
      <c r="E18" s="22">
        <f>720*E4+720*D4</f>
        <v/>
      </c>
      <c r="F18" s="22">
        <f>720*F4+720*E4</f>
        <v/>
      </c>
      <c r="G18" s="22">
        <f>720*G4+720*F4</f>
        <v/>
      </c>
      <c r="H18" s="22">
        <f>720*H4+720*G4</f>
        <v/>
      </c>
      <c r="I18" s="22">
        <f>720*I4+720*H4</f>
        <v/>
      </c>
      <c r="J18" s="22">
        <f>720*J4+720*I4</f>
        <v/>
      </c>
      <c r="K18" s="22">
        <f>SUM(B18:J18)</f>
        <v/>
      </c>
    </row>
    <row r="19">
      <c r="A19" s="4" t="inlineStr">
        <is>
          <t>Carbon revenue at floor ($)</t>
        </is>
      </c>
      <c r="B19" s="22">
        <f>B6*$B$13</f>
        <v/>
      </c>
      <c r="C19" s="22">
        <f>C6*$B$13</f>
        <v/>
      </c>
      <c r="D19" s="22">
        <f>D6*$B$13</f>
        <v/>
      </c>
      <c r="E19" s="22">
        <f>E6*$B$13</f>
        <v/>
      </c>
      <c r="F19" s="22">
        <f>F6*$B$13</f>
        <v/>
      </c>
      <c r="G19" s="22">
        <f>G6*$B$13</f>
        <v/>
      </c>
      <c r="H19" s="22">
        <f>H6*$B$13</f>
        <v/>
      </c>
      <c r="I19" s="22">
        <f>I6*$B$13</f>
        <v/>
      </c>
      <c r="J19" s="22">
        <f>J6*$B$13</f>
        <v/>
      </c>
      <c r="K19" s="22">
        <f>SUM(B19:J19)</f>
        <v/>
      </c>
    </row>
    <row r="20">
      <c r="A20" s="3" t="inlineStr">
        <is>
          <t>TOTAL_PROGRAMME_COST 2025-2033 ($)</t>
        </is>
      </c>
      <c r="B20" s="25">
        <f>K16+K17+K18</f>
        <v/>
      </c>
      <c r="C20" s="15" t="inlineStr">
        <is>
          <t>capex + chlorine + monitoring. 2033 install cohort's second monitoring tranche falls outside the window (excluded, ~$65K). Donor revenue $4M/yr NOT netted: it IS the philanthropy whose cost per DALY we are measuring.</t>
        </is>
      </c>
    </row>
    <row r="21">
      <c r="A21" s="3" t="inlineStr">
        <is>
          <t>Beneficiary-years served</t>
        </is>
      </c>
      <c r="B21" s="22">
        <f>K5</f>
        <v/>
      </c>
    </row>
    <row r="22">
      <c r="A22" s="3" t="inlineStr">
        <is>
          <t>Cost per beneficiary-year ($)</t>
        </is>
      </c>
      <c r="B22" s="26">
        <f>B20/B21</f>
        <v/>
      </c>
    </row>
    <row r="24">
      <c r="A24" s="5" t="inlineStr">
        <is>
          <t>HEALTH CHAIN INPUTS</t>
        </is>
      </c>
    </row>
    <row r="25">
      <c r="A25" s="4" t="inlineStr">
        <is>
          <t>U5 share of population</t>
        </is>
      </c>
      <c r="B25" s="27" t="n">
        <v>0.175</v>
      </c>
      <c r="C25" s="15" t="inlineStr">
        <is>
          <t>judgment; census lookup pending</t>
        </is>
      </c>
    </row>
    <row r="26">
      <c r="A26" s="4" t="inlineStr">
        <is>
          <t>U5 annual death rate (/U5-child-yr)</t>
        </is>
      </c>
      <c r="B26" s="28" t="n">
        <v>0.011</v>
      </c>
      <c r="C26" s="15" t="inlineStr">
        <is>
          <t>~52/1,000 live births; UN IGME lookup PENDING</t>
        </is>
      </c>
    </row>
    <row r="27">
      <c r="A27" s="4" t="inlineStr">
        <is>
          <t>Diarrheal share of U5 deaths</t>
        </is>
      </c>
      <c r="B27" s="27" t="n">
        <v>0.09</v>
      </c>
      <c r="C27" s="15" t="inlineStr">
        <is>
          <t>GBD-order estimate; flagged</t>
        </is>
      </c>
    </row>
    <row r="28">
      <c r="A28" s="4" t="inlineStr">
        <is>
          <t>U5 mortality reduction (chlorinated supply)</t>
        </is>
      </c>
      <c r="B28" s="24" t="n">
        <v>0.12</v>
      </c>
      <c r="C28" s="15" t="inlineStr">
        <is>
          <t>GiveWell in-line chlorination conservative; Kremer et al. 2023 25% in S1</t>
        </is>
      </c>
    </row>
    <row r="29">
      <c r="A29" s="4" t="inlineStr">
        <is>
          <t>YLL per U5 death</t>
        </is>
      </c>
      <c r="B29" s="29" t="n">
        <v>33</v>
      </c>
      <c r="C29" s="15" t="inlineStr">
        <is>
          <t>flagged; discounting convention pending</t>
        </is>
      </c>
    </row>
    <row r="30">
      <c r="A30" s="4" t="inlineStr">
        <is>
          <t>Diarrheal incidence U5 (episodes/child-yr)</t>
        </is>
      </c>
      <c r="B30" s="30" t="n">
        <v>0.8</v>
      </c>
      <c r="C30" s="15" t="inlineStr">
        <is>
          <t>judgment; GBD pending</t>
        </is>
      </c>
    </row>
    <row r="31">
      <c r="A31" s="4" t="inlineStr">
        <is>
          <t>Diarrheal incidence over-5</t>
        </is>
      </c>
      <c r="B31" s="30" t="n">
        <v>0.3</v>
      </c>
      <c r="C31" s="15" t="inlineStr">
        <is>
          <t>judgment; GBD pending</t>
        </is>
      </c>
    </row>
    <row r="32">
      <c r="A32" s="4" t="inlineStr">
        <is>
          <t>Diarrhea reduction (chlorination, all ages)</t>
        </is>
      </c>
      <c r="B32" s="24" t="n">
        <v>0.25</v>
      </c>
      <c r="C32" s="15" t="inlineStr">
        <is>
          <t>Wolf et al. 2022, POU chlorination RR ~0.75</t>
        </is>
      </c>
    </row>
    <row r="33">
      <c r="A33" s="4" t="inlineStr">
        <is>
          <t>Delivery effectiveness (safe at point)</t>
        </is>
      </c>
      <c r="B33" s="31" t="n">
        <v>0.9</v>
      </c>
      <c r="C33" s="15" t="inlineStr">
        <is>
          <t>sensor-measured, portfolio monitoring 90.3%</t>
        </is>
      </c>
    </row>
    <row r="34">
      <c r="A34" s="4" t="inlineStr">
        <is>
          <t>Household usage share</t>
        </is>
      </c>
      <c r="B34" s="27" t="n">
        <v>0.7</v>
      </c>
      <c r="C34" s="15" t="inlineStr">
        <is>
          <t>share of drinking water actually from the tap; survey pending</t>
        </is>
      </c>
    </row>
    <row r="35">
      <c r="A35" s="3" t="inlineStr">
        <is>
          <t>Effective coverage</t>
        </is>
      </c>
      <c r="B35" s="32">
        <f>B33*B34</f>
        <v/>
      </c>
    </row>
    <row r="36">
      <c r="A36" s="3" t="inlineStr">
        <is>
          <t>YLD per episode (DALYs)</t>
        </is>
      </c>
      <c r="B36" s="33">
        <f>0.188*4.3/365</f>
        <v/>
      </c>
      <c r="C36" s="15" t="inlineStr">
        <is>
          <t>GBD moderate diarrhea DW 0.188 x 4.3 days</t>
        </is>
      </c>
    </row>
    <row r="38">
      <c r="A38" s="5" t="inlineStr">
        <is>
          <t>EVIDENCE ADJUSTMENT PIPELINE (raw is decision-authoritative, R1)</t>
        </is>
      </c>
    </row>
    <row r="39">
      <c r="A39" s="4" t="inlineStr">
        <is>
          <t>Internal validity (IV)</t>
        </is>
      </c>
      <c r="B39" s="34" t="n">
        <v>0.75</v>
      </c>
      <c r="C39" s="15" t="inlineStr">
        <is>
          <t>Meta/GiveWell-anchored reductions; multiple judgment burden inputs</t>
        </is>
      </c>
    </row>
    <row r="40">
      <c r="A40" s="4" t="inlineStr">
        <is>
          <t>External validity (EV)</t>
        </is>
      </c>
      <c r="B40" s="34" t="n">
        <v>0.75</v>
      </c>
      <c r="C40" s="15" t="inlineStr">
        <is>
          <t>ILC/POU evidence -&gt; piped chlorinated community supply, Burundi</t>
        </is>
      </c>
    </row>
    <row r="41">
      <c r="A41" s="4" t="inlineStr">
        <is>
          <t>Publication bias (PB)</t>
        </is>
      </c>
      <c r="B41" s="34" t="n">
        <v>0.8</v>
      </c>
      <c r="C41" s="15" t="inlineStr">
        <is>
          <t>Systematic reviews w/o independent funnel confirmation here</t>
        </is>
      </c>
    </row>
    <row r="42">
      <c r="A42" s="4" t="inlineStr">
        <is>
          <t>Implementation quality (IQ)</t>
        </is>
      </c>
      <c r="B42" s="34" t="n">
        <v>0.85</v>
      </c>
      <c r="C42" s="15" t="inlineStr">
        <is>
          <t>Sensor-instrumented plan; no issuances yet (GS reg Q1 2027)</t>
        </is>
      </c>
    </row>
    <row r="43">
      <c r="A43" s="3" t="inlineStr">
        <is>
          <t>EAP composite</t>
        </is>
      </c>
      <c r="B43" s="35">
        <f>B39*B40*B41*B42</f>
        <v/>
      </c>
    </row>
    <row r="45">
      <c r="A45" s="5" t="inlineStr">
        <is>
          <t>CREDIT INTEGRITY + CARBON</t>
        </is>
      </c>
    </row>
    <row r="46">
      <c r="A46" s="4" t="inlineStr">
        <is>
          <t>Residual baseline-practice factor</t>
        </is>
      </c>
      <c r="B46" s="27" t="n">
        <v>0.7</v>
      </c>
      <c r="C46" s="15" t="inlineStr">
        <is>
          <t>Yield 0.170 NOT yet reconstructed to GS SDWS V2.0 — larger residual risk than Rwanda's 0.78; measured baseline survey required</t>
        </is>
      </c>
    </row>
    <row r="47">
      <c r="A47" s="4" t="inlineStr">
        <is>
          <t>Leakage/rebound factor</t>
        </is>
      </c>
      <c r="B47" s="24" t="n">
        <v>1</v>
      </c>
    </row>
    <row r="48">
      <c r="A48" s="3" t="inlineStr">
        <is>
          <t>Credit integrity ratio (real/credited)</t>
        </is>
      </c>
      <c r="B48" s="32">
        <f>B46*B33*B47</f>
        <v/>
      </c>
      <c r="C48" s="15" t="inlineStr">
        <is>
          <t>Same delivery rate as the health chain (one usage number, two consumers)</t>
        </is>
      </c>
    </row>
    <row r="49">
      <c r="A49" s="4" t="inlineStr">
        <is>
          <t>Social Cost of Carbon ($/tCO2)</t>
        </is>
      </c>
      <c r="B49" s="23" t="n">
        <v>185</v>
      </c>
    </row>
    <row r="50">
      <c r="A50" s="4" t="inlineStr">
        <is>
          <t>GiveDirectly benchmark (units/$)</t>
        </is>
      </c>
      <c r="B50" s="36" t="n">
        <v>0.00335</v>
      </c>
    </row>
  </sheetData>
  <mergeCells count="6">
    <mergeCell ref="A15:K15"/>
    <mergeCell ref="A24:K24"/>
    <mergeCell ref="A38:K38"/>
    <mergeCell ref="A45:K45"/>
    <mergeCell ref="A1:K1"/>
    <mergeCell ref="A8:K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60" customWidth="1" min="7" max="7"/>
  </cols>
  <sheetData>
    <row r="1">
      <c r="A1" s="6" t="inlineStr">
        <is>
          <t>TOP-LINE RESULTS — GiveWell Default headline</t>
        </is>
      </c>
    </row>
    <row r="2">
      <c r="A2" s="9" t="inlineStr">
        <is>
          <t>Metric</t>
        </is>
      </c>
      <c r="B2" s="9" t="inlineStr">
        <is>
          <t>Raw</t>
        </is>
      </c>
      <c r="C2" s="9" t="inlineStr">
        <is>
          <t>Evidence-adjusted</t>
        </is>
      </c>
    </row>
    <row r="3">
      <c r="A3" s="3" t="inlineStr">
        <is>
          <t>$/DALY averted</t>
        </is>
      </c>
      <c r="B3" s="10" t="n">
        <v>5307.139330185404</v>
      </c>
      <c r="C3" s="10" t="n">
        <v>13874.87406584419</v>
      </c>
    </row>
    <row r="4">
      <c r="A4" s="3" t="inlineStr">
        <is>
          <t>$/DCY (per doubled-consumption-year)</t>
        </is>
      </c>
      <c r="B4" s="10" t="n">
        <v>2307.451882689306</v>
      </c>
      <c r="C4" s="10" t="n">
        <v>6032.553941671389</v>
      </c>
    </row>
    <row r="5">
      <c r="A5" s="3" t="inlineStr">
        <is>
          <t>xCash_MU (ranking metric)</t>
        </is>
      </c>
      <c r="B5" s="13" t="n">
        <v>0.1330227275621702</v>
      </c>
      <c r="C5" s="14" t="inlineStr"/>
    </row>
    <row r="6">
      <c r="A6" s="15" t="inlineStr">
        <is>
          <t>$/DALY = $/DCY × 2.3 (units of value per DALY, GiveWell Default). $/DCY = $/unit of value = 298.51 ÷ xCash.</t>
        </is>
      </c>
    </row>
    <row r="8">
      <c r="A8" s="5" t="inlineStr">
        <is>
          <t>METRIC 1 — HEALTH (two sub-pathways, full-delivery-cost basis)</t>
        </is>
      </c>
    </row>
    <row r="9">
      <c r="A9" s="3" t="inlineStr">
        <is>
          <t>U5 child-years</t>
        </is>
      </c>
      <c r="B9" s="22">
        <f>Assumptions!B21*Assumptions!B25</f>
        <v/>
      </c>
    </row>
    <row r="10">
      <c r="A10" s="3" t="inlineStr">
        <is>
          <t>U5 diarrheal deaths averted</t>
        </is>
      </c>
      <c r="B10" s="22">
        <f>B9*Assumptions!B26*Assumptions!B27*Assumptions!B28*Assumptions!B35</f>
        <v/>
      </c>
      <c r="G10" s="15" t="inlineStr">
        <is>
          <t>U5CY x rate x diarrheal share x reduction x effective coverage</t>
        </is>
      </c>
    </row>
    <row r="11">
      <c r="A11" s="3" t="inlineStr">
        <is>
          <t>DALYs, mortality (YLL)</t>
        </is>
      </c>
      <c r="B11" s="22">
        <f>B10*Assumptions!B29</f>
        <v/>
      </c>
    </row>
    <row r="12">
      <c r="A12" s="3" t="inlineStr">
        <is>
          <t>Diarrheal episodes (all ages, 2025-33)</t>
        </is>
      </c>
      <c r="B12" s="22">
        <f>B9*Assumptions!B30+(Assumptions!B21-B9)*Assumptions!B31</f>
        <v/>
      </c>
    </row>
    <row r="13">
      <c r="A13" s="3" t="inlineStr">
        <is>
          <t>DALYs, morbidity (YLD)</t>
        </is>
      </c>
      <c r="B13" s="22">
        <f>B12*Assumptions!B32*Assumptions!B35*Assumptions!B36</f>
        <v/>
      </c>
      <c r="G13" s="15" t="inlineStr">
        <is>
          <t>episodes x reduction x effective coverage x YLD/episode</t>
        </is>
      </c>
    </row>
    <row r="14">
      <c r="A14" s="3" t="inlineStr">
        <is>
          <t>DALYs averted, TOTAL (raw)</t>
        </is>
      </c>
      <c r="B14" s="22">
        <f>B11+B13</f>
        <v/>
      </c>
      <c r="G14" s="15" t="inlineStr">
        <is>
          <t>mortality 76% / morbidity 24% of total</t>
        </is>
      </c>
    </row>
    <row r="15">
      <c r="A15" s="3" t="inlineStr">
        <is>
          <t>$/DALY averted (raw)</t>
        </is>
      </c>
      <c r="B15" s="25">
        <f>Assumptions!B20/B14</f>
        <v/>
      </c>
    </row>
    <row r="16">
      <c r="A16" s="3" t="inlineStr">
        <is>
          <t>DALYs averted (evidence-adjusted)</t>
        </is>
      </c>
      <c r="B16" s="22">
        <f>B14*Assumptions!B43</f>
        <v/>
      </c>
    </row>
    <row r="17">
      <c r="A17" s="3" t="inlineStr">
        <is>
          <t>$/DALY averted (adjusted)</t>
        </is>
      </c>
      <c r="B17" s="25">
        <f>Assumptions!B20/B16</f>
        <v/>
      </c>
    </row>
    <row r="19">
      <c r="A19" s="5" t="inlineStr">
        <is>
          <t>xCASH — THREE FRAMEWORKS + MU (raw basis, R1)</t>
        </is>
      </c>
    </row>
    <row r="20">
      <c r="A20" s="3" t="inlineStr">
        <is>
          <t>xCash GiveWell Default (MW 2.3)</t>
        </is>
      </c>
      <c r="B20" s="37">
        <f>(B14*2.3/Assumptions!B20)/Assumptions!B50</f>
        <v/>
      </c>
    </row>
    <row r="21">
      <c r="A21" s="3" t="inlineStr">
        <is>
          <t>xCash Egalitarian (MW 1.0)</t>
        </is>
      </c>
      <c r="B21" s="37">
        <f>(B14*1.0/Assumptions!B20)/Assumptions!B50</f>
        <v/>
      </c>
    </row>
    <row r="22">
      <c r="A22" s="3" t="inlineStr">
        <is>
          <t>xCash WELLBY/FP (MW 3.6)</t>
        </is>
      </c>
      <c r="B22" s="37">
        <f>(B14*3.6/Assumptions!B20)/Assumptions!B50</f>
        <v/>
      </c>
    </row>
    <row r="23">
      <c r="A23" s="3" t="inlineStr">
        <is>
          <t>xCash_MU (0.45/0.25/0.30)</t>
        </is>
      </c>
      <c r="B23" s="37">
        <f>0.45*B20+0.25*B21+0.30*B22</f>
        <v/>
      </c>
    </row>
    <row r="25">
      <c r="A25" s="5" t="inlineStr">
        <is>
          <t>METRICS 2-4 — CLIMATE, COVERAGE, INTEGRITY</t>
        </is>
      </c>
    </row>
    <row r="26">
      <c r="A26" s="3" t="inlineStr">
        <is>
          <t>$/tCO2e (credited)</t>
        </is>
      </c>
      <c r="B26" s="25">
        <f>Assumptions!B20/Assumptions!K6</f>
        <v/>
      </c>
    </row>
    <row r="27">
      <c r="A27" s="3" t="inlineStr">
        <is>
          <t>vs SCC (credited)</t>
        </is>
      </c>
      <c r="B27" s="37">
        <f>Assumptions!B49/B26</f>
        <v/>
      </c>
    </row>
    <row r="28">
      <c r="A28" s="3" t="inlineStr">
        <is>
          <t>$/tCO2e (integrity-adjusted)</t>
        </is>
      </c>
      <c r="B28" s="25">
        <f>Assumptions!B20/(Assumptions!K6*Assumptions!B48)</f>
        <v/>
      </c>
    </row>
    <row r="29">
      <c r="A29" s="3" t="inlineStr">
        <is>
          <t>vs SCC (integrity-adjusted)</t>
        </is>
      </c>
      <c r="B29" s="37">
        <f>Assumptions!B49/B28</f>
        <v/>
      </c>
    </row>
    <row r="30">
      <c r="A30" s="3" t="inlineStr">
        <is>
          <t>Carbon revenue / full cost ($15 floor)</t>
        </is>
      </c>
      <c r="B30" s="32">
        <f>Assumptions!K19/Assumptions!B20</f>
        <v/>
      </c>
      <c r="G30" s="15" t="inlineStr">
        <is>
          <t>carbon covers ~half; donor capital funds the rest of the build-out</t>
        </is>
      </c>
    </row>
    <row r="31">
      <c r="A31" s="3" t="inlineStr">
        <is>
          <t>Net philanthropic cost ($)</t>
        </is>
      </c>
      <c r="B31" s="25">
        <f>Assumptions!B20-Assumptions!K19</f>
        <v/>
      </c>
    </row>
    <row r="32">
      <c r="A32" s="3" t="inlineStr">
        <is>
          <t>Net donor $ / DALY averted</t>
        </is>
      </c>
      <c r="B32" s="25">
        <f>B31/B14</f>
        <v/>
      </c>
      <c r="G32" s="15" t="inlineStr">
        <is>
          <t>the fund's primary metric for a not-yet-self-financing program</t>
        </is>
      </c>
    </row>
    <row r="34">
      <c r="A34" s="5" t="inlineStr">
        <is>
          <t>ONE-WAY SCENARIOS (preliminary - no Monte Carlo)</t>
        </is>
      </c>
    </row>
    <row r="35">
      <c r="A35" s="38" t="inlineStr">
        <is>
          <t>Scenario</t>
        </is>
      </c>
      <c r="B35" s="38" t="inlineStr">
        <is>
          <t>Varied input</t>
        </is>
      </c>
      <c r="C35" s="20" t="inlineStr">
        <is>
          <t>DALYs (raw)</t>
        </is>
      </c>
      <c r="D35" s="9" t="inlineStr">
        <is>
          <t>$/DALY raw</t>
        </is>
      </c>
      <c r="E35" s="39" t="inlineStr">
        <is>
          <t>xCash GW</t>
        </is>
      </c>
      <c r="F35" s="40" t="inlineStr">
        <is>
          <t>Net donor $/DALY</t>
        </is>
      </c>
      <c r="G35" s="38" t="inlineStr">
        <is>
          <t>Assessment</t>
        </is>
      </c>
    </row>
    <row r="36">
      <c r="A36" s="4" t="inlineStr">
        <is>
          <t>S1 Kremer mortality reduction</t>
        </is>
      </c>
      <c r="B36" s="41" t="inlineStr">
        <is>
          <t>25%</t>
        </is>
      </c>
      <c r="C36" s="22" t="n">
        <v>18375.11943451828</v>
      </c>
      <c r="D36" s="25" t="n">
        <v>2907.624905117033</v>
      </c>
      <c r="E36" s="37" t="n">
        <v>0.2361264559850335</v>
      </c>
      <c r="F36" s="25" t="n">
        <v>1342.46446616101</v>
      </c>
      <c r="G36" s="4" t="inlineStr">
        <is>
          <t>meta-analytic all-cause anchor doubles mortality DALYs</t>
        </is>
      </c>
    </row>
    <row r="37">
      <c r="A37" s="4" t="inlineStr">
        <is>
          <t>S2 Household usage low</t>
        </is>
      </c>
      <c r="B37" s="41" t="inlineStr">
        <is>
          <t>50%</t>
        </is>
      </c>
      <c r="C37" s="22" t="n">
        <v>7190.846622993204</v>
      </c>
      <c r="D37" s="25" t="n">
        <v>7429.995062259567</v>
      </c>
      <c r="E37" s="37" t="n">
        <v>0.09240479413862618</v>
      </c>
      <c r="F37" s="25" t="n">
        <v>3430.464616423331</v>
      </c>
      <c r="G37" s="4" t="inlineStr"/>
    </row>
    <row r="38">
      <c r="A38" s="4" t="inlineStr">
        <is>
          <t>S3 Household usage high</t>
        </is>
      </c>
      <c r="B38" s="41" t="inlineStr">
        <is>
          <t>90%</t>
        </is>
      </c>
      <c r="C38" s="22" t="n">
        <v>12943.52392138777</v>
      </c>
      <c r="D38" s="25" t="n">
        <v>4127.775034588648</v>
      </c>
      <c r="E38" s="37" t="n">
        <v>0.1663286294495272</v>
      </c>
      <c r="F38" s="25" t="n">
        <v>1905.813675790739</v>
      </c>
      <c r="G38" s="4" t="inlineStr"/>
    </row>
    <row r="39">
      <c r="A39" s="4" t="inlineStr">
        <is>
          <t>S4 U5 death rate -30%</t>
        </is>
      </c>
      <c r="B39" s="41" t="inlineStr">
        <is>
          <t>0.0077</t>
        </is>
      </c>
      <c r="C39" s="22" t="n">
        <v>7766.526581084327</v>
      </c>
      <c r="D39" s="25" t="n">
        <v>6879.259903961601</v>
      </c>
      <c r="E39" s="37" t="n">
        <v>0.09980247494119635</v>
      </c>
      <c r="F39" s="25" t="n">
        <v>3176.187533096856</v>
      </c>
      <c r="G39" s="4" t="inlineStr"/>
    </row>
    <row r="40">
      <c r="A40" s="4" t="inlineStr">
        <is>
          <t>S5 U5 death rate +30%</t>
        </is>
      </c>
      <c r="B40" s="41" t="inlineStr">
        <is>
          <t>0.0143</t>
        </is>
      </c>
      <c r="C40" s="22" t="n">
        <v>12367.84396329664</v>
      </c>
      <c r="D40" s="25" t="n">
        <v>4319.90855163281</v>
      </c>
      <c r="E40" s="37" t="n">
        <v>0.158930948646957</v>
      </c>
      <c r="F40" s="25" t="n">
        <v>1994.522648855456</v>
      </c>
      <c r="G40" s="4" t="inlineStr"/>
    </row>
    <row r="41">
      <c r="A41" s="4" t="inlineStr">
        <is>
          <t>S6 Floor price $10</t>
        </is>
      </c>
      <c r="B41" s="41" t="inlineStr">
        <is>
          <t>$10/t</t>
        </is>
      </c>
      <c r="C41" s="22" t="n">
        <v>10067.18527219049</v>
      </c>
      <c r="D41" s="25" t="n">
        <v>5307.139330185404</v>
      </c>
      <c r="E41" s="37" t="n">
        <v>0.1293667117940767</v>
      </c>
      <c r="F41" s="25" t="n">
        <v>3402.60102264434</v>
      </c>
      <c r="G41" s="4" t="inlineStr">
        <is>
          <t>coverage 36%</t>
        </is>
      </c>
    </row>
    <row r="42">
      <c r="A42" s="4" t="inlineStr">
        <is>
          <t>S7 Contracted credits only (210,000)</t>
        </is>
      </c>
      <c r="B42" s="41" t="inlineStr">
        <is>
          <t>Mortenson</t>
        </is>
      </c>
      <c r="C42" s="22" t="n">
        <v>10067.18527219049</v>
      </c>
      <c r="D42" s="25" t="n">
        <v>5307.139330185404</v>
      </c>
      <c r="E42" s="37" t="n">
        <v>0.1293667117940767</v>
      </c>
      <c r="F42" s="25" t="n">
        <v>4994.241542488824</v>
      </c>
      <c r="G42" s="4" t="inlineStr">
        <is>
          <t>coverage 6% — crediting risk is the load-bearing carbon risk</t>
        </is>
      </c>
    </row>
    <row r="44">
      <c r="A44" s="15" t="inlineStr">
        <is>
          <t>Recomputed robustness (R4): raw $/DALY spans $2908-$7430 across S1-S5; net donor $/DALY spans $1342-$4994. The program is NOT self-financing in-window at the floor price; the model's carbon case rests on crediting volume (S7) more than price (S6).</t>
        </is>
      </c>
    </row>
  </sheetData>
  <mergeCells count="5">
    <mergeCell ref="A1:C1"/>
    <mergeCell ref="A8:G8"/>
    <mergeCell ref="A34:G34"/>
    <mergeCell ref="A25:G25"/>
    <mergeCell ref="A19:G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68" customWidth="1" min="3" max="3"/>
  </cols>
  <sheetData>
    <row r="1">
      <c r="A1" s="20" t="inlineStr">
        <is>
          <t>Critique Dimension</t>
        </is>
      </c>
      <c r="B1" s="20" t="inlineStr">
        <is>
          <t>Rating</t>
        </is>
      </c>
      <c r="C1" s="20" t="inlineStr">
        <is>
          <t>Assessment</t>
        </is>
      </c>
    </row>
    <row r="2" ht="80" customHeight="1">
      <c r="A2" s="3" t="inlineStr">
        <is>
          <t>1. Effect size quality</t>
        </is>
      </c>
      <c r="B2" s="42" t="inlineStr">
        <is>
          <t>WEAK</t>
        </is>
      </c>
      <c r="C2" s="43" t="inlineStr">
        <is>
          <t>EAP composite 0.383 (IV .75 x EV .75 x PB .80 x IQ .85). Reduction anchors are strong (GiveWell ILC 12% conservative, Wolf 2022 morbidity), but every burden input (U5 share, U5 death rate, diarrheal share, incidence, YLL) is judgment pending IGME/GBD lookups, and household usage (0.70) has no survey. PRELIMINARY is correct.</t>
        </is>
      </c>
    </row>
    <row r="3" ht="80" customHeight="1">
      <c r="A3" s="3" t="inlineStr">
        <is>
          <t>2. Counterfactual robustness</t>
        </is>
      </c>
      <c r="B3" s="44" t="inlineStr">
        <is>
          <t>MODERATE</t>
        </is>
      </c>
      <c r="C3" s="43" t="inlineStr">
        <is>
          <t>Health-side: Burundi has few alternative funders at this scale (govt Ministry of Water partner; UNICEF WASH active) - P(funging) low-moderate, unmodeled in v1. Carbon-side: no issuances until 2027 and no LOA yet; the additionality case is currently STRONGER than Rwanda's (project would not proceed at scale without the carbon contract + donor blend).</t>
        </is>
      </c>
    </row>
    <row r="4" ht="80" customHeight="1">
      <c r="A4" s="3" t="inlineStr">
        <is>
          <t>3. Moral weight transparency</t>
        </is>
      </c>
      <c r="B4" s="45" t="inlineStr">
        <is>
          <t>STRONG</t>
        </is>
      </c>
      <c r="C4" s="43" t="inlineStr">
        <is>
          <t>All frameworks reported; mortality-dominant pathway makes GW/WELLBY spread modest and ranking stable. Net donor $/DALY ~$2,400 raw is the decision-relevant number.</t>
        </is>
      </c>
    </row>
    <row r="5" ht="80" customHeight="1">
      <c r="A5" s="3" t="inlineStr">
        <is>
          <t>4. Attribution logic</t>
        </is>
      </c>
      <c r="B5" s="44" t="inlineStr">
        <is>
          <t>MODERATE</t>
        </is>
      </c>
      <c r="C5" s="43" t="inlineStr">
        <is>
          <t>Amazi Water delivers; Virridy develops carbon + dMRV. The model charges FULL system capex to the programme and credits ALL health benefit - internally consistent, but a funder-specific view (carbon-only investment vs donor capex) needs an attribution split in v2.</t>
        </is>
      </c>
    </row>
    <row r="6" ht="80" customHeight="1">
      <c r="A6" s="3" t="inlineStr">
        <is>
          <t>5. Excluded factors</t>
        </is>
      </c>
      <c r="B6" s="42" t="inlineStr">
        <is>
          <t>FLAG</t>
        </is>
      </c>
      <c r="C6" s="43" t="inlineStr">
        <is>
          <t>Excluded: time savings from proximate taps (likely large, conservative), water-quantity/hygiene benefits (conservative), O&amp;M beyond chlorine+monitoring (optimistic), post-2033 years incl. the self-sustaining era from 2035 (conservative for donor economics). 2-yr crediting delay means in-window credits understate steady-state yield (conservative on carbon).</t>
        </is>
      </c>
    </row>
    <row r="7" ht="80" customHeight="1">
      <c r="A7" s="3" t="inlineStr">
        <is>
          <t>6. Ranking stability</t>
        </is>
      </c>
      <c r="B7" s="44" t="inlineStr">
        <is>
          <t>MODERATE</t>
        </is>
      </c>
      <c r="C7" s="43" t="inlineStr">
        <is>
          <t>Raw $/DALY $2,905-$7,425 across S1-S5; never near the cash bar on full cost, comfortably below SCC on climate ($27.9-$44.3/t). Reversal condition for the carbon story: crediting volume. At contracted-only volume (S7) coverage falls to ~6% and the program is donor capex with a carbon topper - the load-bearing uncertainty is GS registration + issuance ramp, not price.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2026-08-07T22:12:03Z</dcterms:created>
  <dcterms:modified xmlns:dcterms="http://purl.org/dc/terms/" xmlns:xsi="http://www.w3.org/2001/XMLSchema-instance" xsi:type="dcterms:W3CDTF">2026-08-07T22:12:03Z</dcterms:modified>
</cp:coreProperties>
</file>